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tabRatio="929" activeTab="0"/>
  </bookViews>
  <sheets>
    <sheet name="Налоговый потен" sheetId="1" r:id="rId1"/>
    <sheet name="Коэф.масшт." sheetId="2" r:id="rId2"/>
    <sheet name="Коэф. плот.авт.дорог" sheetId="3" r:id="rId3"/>
    <sheet name="Коэф.дисп" sheetId="4" r:id="rId4"/>
    <sheet name="Расчет доли " sheetId="5" r:id="rId5"/>
    <sheet name="ИБР" sheetId="6" r:id="rId6"/>
    <sheet name="БО" sheetId="7" r:id="rId7"/>
    <sheet name="ДП" sheetId="8" r:id="rId8"/>
    <sheet name="ИДП" sheetId="9" r:id="rId9"/>
    <sheet name="субв от числ уточ" sheetId="10" r:id="rId10"/>
    <sheet name="Дотац 4500" sheetId="11" r:id="rId11"/>
  </sheets>
  <definedNames>
    <definedName name="_xlnm.Print_Area" localSheetId="5">'ИБР'!$A$1:$S$21</definedName>
    <definedName name="_xlnm.Print_Area" localSheetId="0">'Налоговый потен'!$A$1:$M$19</definedName>
  </definedNames>
  <calcPr fullCalcOnLoad="1"/>
</workbook>
</file>

<file path=xl/sharedStrings.xml><?xml version="1.0" encoding="utf-8"?>
<sst xmlns="http://schemas.openxmlformats.org/spreadsheetml/2006/main" count="298" uniqueCount="158">
  <si>
    <t>№п/п</t>
  </si>
  <si>
    <t>Наименование поселения</t>
  </si>
  <si>
    <t xml:space="preserve">Средняя численность </t>
  </si>
  <si>
    <t>Чердаклинское городское поселение</t>
  </si>
  <si>
    <t>Октябрьское городское поселение</t>
  </si>
  <si>
    <t>Бряндинское сельское поселение</t>
  </si>
  <si>
    <t>Богдашкинское сельское поселение</t>
  </si>
  <si>
    <t>Озерское сельское поселение</t>
  </si>
  <si>
    <t>Белоярское сельское поселение</t>
  </si>
  <si>
    <t>Калмаюрское сельское поселение</t>
  </si>
  <si>
    <t>Крестовогородищенское сельское поселение</t>
  </si>
  <si>
    <t>Красноярское сельское поселение</t>
  </si>
  <si>
    <t>Мирновское сельское поселение</t>
  </si>
  <si>
    <t>Численность поселения (чел.)</t>
  </si>
  <si>
    <t>Всего расходов</t>
  </si>
  <si>
    <t>ВСЕГО</t>
  </si>
  <si>
    <t>Наименование</t>
  </si>
  <si>
    <t>№</t>
  </si>
  <si>
    <t>с.Енганаево</t>
  </si>
  <si>
    <t>пос.Первомайский</t>
  </si>
  <si>
    <t>пос.Пятисотенный</t>
  </si>
  <si>
    <t>с.Абдуллово</t>
  </si>
  <si>
    <t>с.Асаново</t>
  </si>
  <si>
    <t>пос.Новый Суходол</t>
  </si>
  <si>
    <t>р.п.Чердаклы (адм.центр)</t>
  </si>
  <si>
    <t>с.Бряндино (адм. центр)</t>
  </si>
  <si>
    <t>р.п.Октябрьский (адм. центр)</t>
  </si>
  <si>
    <t>с.Ст.Бряндино</t>
  </si>
  <si>
    <t>с.Ст.Еремкино</t>
  </si>
  <si>
    <t>пос.Борисовка</t>
  </si>
  <si>
    <t>пос.Победитель</t>
  </si>
  <si>
    <t>разъезд Путевой</t>
  </si>
  <si>
    <t>с.Богдашкино (адм.центр)</t>
  </si>
  <si>
    <t>с.Петровское</t>
  </si>
  <si>
    <t>с.Войкино</t>
  </si>
  <si>
    <t>с.Ст.Матюшкино</t>
  </si>
  <si>
    <t>с.Новое Матюшкино</t>
  </si>
  <si>
    <t>разъезд Уренбаш</t>
  </si>
  <si>
    <t>с.Озерки (адм.центр)</t>
  </si>
  <si>
    <t>д.Рузаны</t>
  </si>
  <si>
    <t>с.Старый Уренбаш</t>
  </si>
  <si>
    <t>с.Суходол</t>
  </si>
  <si>
    <t>с.Новый Белый Яр (адм.центр)</t>
  </si>
  <si>
    <t>с.Ст.Белый Яр</t>
  </si>
  <si>
    <t>п.Вислая Дубрава</t>
  </si>
  <si>
    <t>с.Поповка</t>
  </si>
  <si>
    <t>с.Камышовка</t>
  </si>
  <si>
    <t>с.Коровино</t>
  </si>
  <si>
    <t>с.Уразгильдино</t>
  </si>
  <si>
    <t>с.Андреевка</t>
  </si>
  <si>
    <t>с.Татарский Калмаюр (адм.центр)</t>
  </si>
  <si>
    <t>с.Чувашский Калмаюр</t>
  </si>
  <si>
    <t>Крестово-Городищенское сельское поселение</t>
  </si>
  <si>
    <t>с.Крестово-Городище (адм.центр)</t>
  </si>
  <si>
    <t>пос.Колхозный (адм.центр)</t>
  </si>
  <si>
    <t>с.Красный Яр</t>
  </si>
  <si>
    <t>пос.Мирный (адм.центр)</t>
  </si>
  <si>
    <t>с.Архангельское</t>
  </si>
  <si>
    <t>пос.Лощина</t>
  </si>
  <si>
    <t>Всего по Чердаклинскому району</t>
  </si>
  <si>
    <t>с.Малаевка</t>
  </si>
  <si>
    <t>Коэффициент дисперсности расселения</t>
  </si>
  <si>
    <t>Коэффициент масштаба(0,6*числ.пос+0,4*сред числ)/числен посел</t>
  </si>
  <si>
    <t>п. Лесная быль</t>
  </si>
  <si>
    <t>Всего по району</t>
  </si>
  <si>
    <t>пос.Белая Рыбка</t>
  </si>
  <si>
    <t xml:space="preserve">Формирование, утверждение, исполнение бюджета и конторль за исполнением данного бюджета </t>
  </si>
  <si>
    <t>Культура СДК</t>
  </si>
  <si>
    <t>ЖКХ</t>
  </si>
  <si>
    <t>Коэффициент масштаба</t>
  </si>
  <si>
    <t>ВСЕГО по району</t>
  </si>
  <si>
    <t>Коэффициент дисперсности</t>
  </si>
  <si>
    <t>Коэффициент плотности автодорог</t>
  </si>
  <si>
    <t>В среднем по району</t>
  </si>
  <si>
    <t>Формирование, утверждение, исполнение бюджета</t>
  </si>
  <si>
    <t>Культура</t>
  </si>
  <si>
    <t xml:space="preserve">Прочие расходы </t>
  </si>
  <si>
    <t>Доля, %</t>
  </si>
  <si>
    <t>Численность (чел.)</t>
  </si>
  <si>
    <t>Коэффициент плотности автомобильных дорог</t>
  </si>
  <si>
    <t>Прочие расходы на решение вопросов местного значения</t>
  </si>
  <si>
    <t>Всего ИБР (гр5+гр9+гр14+гр18)</t>
  </si>
  <si>
    <t>Доходный потенциал, тыс.руб. ДП</t>
  </si>
  <si>
    <t>Индекс доходного потенциала ИДП (гр4/гр3)/(гр4мр/гр3мр)</t>
  </si>
  <si>
    <t>Налоговый потенциал всего НП</t>
  </si>
  <si>
    <t>Индекс доходного потенциала поселений ИДП</t>
  </si>
  <si>
    <t>Индекс бюджетных расходов поселений ИБР</t>
  </si>
  <si>
    <t>Уровень расчетной бюджетной обеспеченности БО (гр2/гр3)</t>
  </si>
  <si>
    <t>Индекс бюджетных расходов ИБР</t>
  </si>
  <si>
    <t>Субвенции из областного бюджета</t>
  </si>
  <si>
    <t>4а</t>
  </si>
  <si>
    <t>НП НДФЛ</t>
  </si>
  <si>
    <t>земельный налог</t>
  </si>
  <si>
    <t>Налог на имущество физ лиц</t>
  </si>
  <si>
    <t>БНпос/БН</t>
  </si>
  <si>
    <t>средний уровень расчетной бюджетной обеспеченности У1</t>
  </si>
  <si>
    <t>средний У1</t>
  </si>
  <si>
    <t>Первая часть дотации (гр7*П)</t>
  </si>
  <si>
    <t>первая часть дотации</t>
  </si>
  <si>
    <t>с учетом первой части дотации и субвенций</t>
  </si>
  <si>
    <t>субвенции</t>
  </si>
  <si>
    <t xml:space="preserve">Доходный потенциал ДП </t>
  </si>
  <si>
    <t>Уровень бюджетной обеспеченности БО для распределения первой части дотации</t>
  </si>
  <si>
    <t>Объем средств, необходимый для доведения расчетной бюджетной обеспеченности j-го поселения  до второго среднего уровня расчетной бюджетной обеспеченности Т2j=</t>
  </si>
  <si>
    <t>с учетом первой, второй  части дотации и субвенций</t>
  </si>
  <si>
    <t>вторая часть дотации</t>
  </si>
  <si>
    <t>с учетом первой, второй части дотации и субвенций</t>
  </si>
  <si>
    <t>Вторая часть дотации</t>
  </si>
  <si>
    <t>Доходный потенциал</t>
  </si>
  <si>
    <t>Сумма дотации из субвенций (тыс. руб.)</t>
  </si>
  <si>
    <t>с учетом налогового потенциала и  субвенций</t>
  </si>
  <si>
    <t xml:space="preserve">Расчет коэффициента плотности автомобильных дорог по поселениям 2014 год </t>
  </si>
  <si>
    <t>Протяженность автодорог, км</t>
  </si>
  <si>
    <t>с учетом субвенций</t>
  </si>
  <si>
    <t>Объем средств, необходимый для доведения расчетной бюджетной обеспеченности j-го поселения  до среднего уровня расчетной бюджетной обеспеченности (гр4мр/гр3мр)*(У1-гр6)*гр5*гр3</t>
  </si>
  <si>
    <t>с учетом субвенций и первой части дотации</t>
  </si>
  <si>
    <t>Уровень расчетной бюджетной обеспеченности БО1</t>
  </si>
  <si>
    <t>Уровень бюджетной обеспеченности БО1 для распределения второй части дотации</t>
  </si>
  <si>
    <t>с учетом налогового потенциала, первой, второй части дотации и субвенций</t>
  </si>
  <si>
    <t>недостаток на з/пл и ком усл</t>
  </si>
  <si>
    <t>Оценка исполнения за 2014г. - полномочия по 136 ФЗ</t>
  </si>
  <si>
    <t>ИБР ((гр3*гр4/гр3)/(гр3мр*гр4мр/гр3мр))*27,9/100</t>
  </si>
  <si>
    <t>Прогноз налоговых, неналоговых доходов, субвенций, 1 части дотации ПДпмр</t>
  </si>
  <si>
    <t>ЖКХ, дорожная деятельность</t>
  </si>
  <si>
    <t>уточненный на 01.08.2014</t>
  </si>
  <si>
    <t>Оценка исполнения за 2014г.</t>
  </si>
  <si>
    <t>ИБР (гр6*гр7*гр8/гр6)/(гр6мр*гр7мр*гр8мр/г6мр))*25,1/100</t>
  </si>
  <si>
    <t>не расчитываем, берём с решения от 12.11.2014 № 71</t>
  </si>
  <si>
    <t>ИБР (на 37,5%)</t>
  </si>
  <si>
    <t>ИБР (9,4%)</t>
  </si>
  <si>
    <t>с учетом налогового потенциала, первой части дотации и субвенций</t>
  </si>
  <si>
    <t>Единный норматив отчислений в бюджеты поселений налога, %</t>
  </si>
  <si>
    <t>Всего дотации из местного бюджета на 2018</t>
  </si>
  <si>
    <t>разница 2019-2018</t>
  </si>
  <si>
    <t>Определение доли расходов  исходя из фактического расхода без субвенций и субсидий</t>
  </si>
  <si>
    <t>Октябрьское сельское поселение</t>
  </si>
  <si>
    <t>Расчет налогового потенциала на 2024 год</t>
  </si>
  <si>
    <t>НДФЛ план на 2024 год</t>
  </si>
  <si>
    <t>НП ндфл на 2024г. (=ПДпосел конс*Норм*(Бнпос/Бнконс пос)</t>
  </si>
  <si>
    <t>Зем налог план на 2024 год</t>
  </si>
  <si>
    <t>НП зем налог на 2024 год</t>
  </si>
  <si>
    <t>НИФЛ план на 2024 год</t>
  </si>
  <si>
    <t>НП на 2024 год</t>
  </si>
  <si>
    <t>ВСЕГО НП на 2024 год</t>
  </si>
  <si>
    <t>Расчет коэффициента масштаба по поселениям, расположенным на территории муниципального образования «Чердаклинский район» Ульяновской области на 2024 год</t>
  </si>
  <si>
    <t>Расчет коэффициента дисперсности по поселениям, расположенным на территории муниципального образования «Чердаклинский район» Ульяновской области на 2024 год</t>
  </si>
  <si>
    <t>Количество жителей на 01.01.2023</t>
  </si>
  <si>
    <t xml:space="preserve">Расчет индекса бюджетных расходов поселений, расположенных на территории муниципального образования «Чердаклинский район» Ульяновской области на 2024 год </t>
  </si>
  <si>
    <t xml:space="preserve">Уровень расчетной бюджетной обеспеченности поселений, расположенных на территории муниципального образования «Чердаклинский район» Ульяновской области на 2024 год </t>
  </si>
  <si>
    <t>Расчет доходного потенциала поселений, расположенных на территории муниципального образования «Чердаклинский район» Ульяновской области на 2024 год</t>
  </si>
  <si>
    <t>Расчет дотации из районного фонда финансовой поддержки поселений за счет субвенций из областного фонда компенсаций на 2024 год</t>
  </si>
  <si>
    <t>Расчет  дотации из фонда финансовой поддержки поселений, расположенных на территории муниципального образования «Чердаклинский район»  Ульяновской области на 2024 год</t>
  </si>
  <si>
    <t>Налоговый потенциал на 2024г.</t>
  </si>
  <si>
    <t>Прогноз собственных доходов на 2024г.</t>
  </si>
  <si>
    <t>степень отставания 0,026</t>
  </si>
  <si>
    <t>Всего дотации из местного бюджета на 2024г.</t>
  </si>
  <si>
    <t>Всего дотации из областного и местного бюджетов на 2024г.</t>
  </si>
  <si>
    <t>Расчет индекса доходного потенциала на 2024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</si>
</sst>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0.0000"/>
    <numFmt numFmtId="176" formatCode="_-* #,##0_р_._-;\-* #,##0_р_._-;_-* &quot;-&quot;??_р_._-;_-@_-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"/>
    <numFmt numFmtId="183" formatCode="#,##0.00&quot;р.&quot;"/>
    <numFmt numFmtId="184" formatCode="#,##0.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u val="single"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17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center"/>
    </xf>
    <xf numFmtId="173" fontId="0" fillId="0" borderId="10" xfId="0" applyNumberFormat="1" applyBorder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17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0" fillId="0" borderId="10" xfId="0" applyNumberFormat="1" applyBorder="1" applyAlignment="1">
      <alignment wrapText="1"/>
    </xf>
    <xf numFmtId="1" fontId="0" fillId="0" borderId="0" xfId="0" applyNumberFormat="1" applyAlignment="1">
      <alignment/>
    </xf>
    <xf numFmtId="2" fontId="0" fillId="0" borderId="10" xfId="0" applyNumberFormat="1" applyFill="1" applyBorder="1" applyAlignment="1">
      <alignment wrapText="1"/>
    </xf>
    <xf numFmtId="172" fontId="0" fillId="0" borderId="10" xfId="0" applyNumberFormat="1" applyBorder="1" applyAlignment="1">
      <alignment wrapText="1"/>
    </xf>
    <xf numFmtId="172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173" fontId="2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173" fontId="0" fillId="0" borderId="0" xfId="0" applyNumberFormat="1" applyFill="1" applyAlignment="1">
      <alignment/>
    </xf>
    <xf numFmtId="172" fontId="9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wrapText="1"/>
    </xf>
    <xf numFmtId="173" fontId="2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2" fillId="0" borderId="0" xfId="0" applyNumberFormat="1" applyFont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72" fontId="0" fillId="0" borderId="10" xfId="0" applyNumberFormat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0" borderId="0" xfId="0" applyAlignment="1">
      <alignment horizontal="left" wrapText="1"/>
    </xf>
    <xf numFmtId="4" fontId="0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72" fontId="0" fillId="0" borderId="13" xfId="0" applyNumberFormat="1" applyFill="1" applyBorder="1" applyAlignment="1">
      <alignment horizontal="center" wrapText="1"/>
    </xf>
    <xf numFmtId="172" fontId="2" fillId="0" borderId="13" xfId="0" applyNumberFormat="1" applyFont="1" applyFill="1" applyBorder="1" applyAlignment="1">
      <alignment horizontal="center" wrapText="1"/>
    </xf>
    <xf numFmtId="172" fontId="0" fillId="0" borderId="10" xfId="0" applyNumberForma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 wrapText="1"/>
    </xf>
    <xf numFmtId="172" fontId="0" fillId="0" borderId="10" xfId="0" applyNumberFormat="1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173" fontId="0" fillId="34" borderId="10" xfId="0" applyNumberFormat="1" applyFill="1" applyBorder="1" applyAlignment="1">
      <alignment/>
    </xf>
    <xf numFmtId="173" fontId="2" fillId="34" borderId="10" xfId="0" applyNumberFormat="1" applyFont="1" applyFill="1" applyBorder="1" applyAlignment="1">
      <alignment/>
    </xf>
    <xf numFmtId="184" fontId="0" fillId="0" borderId="10" xfId="0" applyNumberFormat="1" applyFill="1" applyBorder="1" applyAlignment="1">
      <alignment/>
    </xf>
    <xf numFmtId="0" fontId="0" fillId="0" borderId="0" xfId="0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horizontal="center"/>
    </xf>
    <xf numFmtId="184" fontId="0" fillId="0" borderId="10" xfId="0" applyNumberFormat="1" applyBorder="1" applyAlignment="1">
      <alignment/>
    </xf>
    <xf numFmtId="184" fontId="2" fillId="0" borderId="10" xfId="0" applyNumberFormat="1" applyFont="1" applyBorder="1" applyAlignment="1">
      <alignment/>
    </xf>
    <xf numFmtId="184" fontId="0" fillId="0" borderId="0" xfId="0" applyNumberFormat="1" applyAlignment="1">
      <alignment/>
    </xf>
    <xf numFmtId="2" fontId="0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wrapText="1"/>
    </xf>
    <xf numFmtId="2" fontId="2" fillId="35" borderId="0" xfId="0" applyNumberFormat="1" applyFont="1" applyFill="1" applyAlignment="1">
      <alignment/>
    </xf>
    <xf numFmtId="2" fontId="2" fillId="35" borderId="10" xfId="0" applyNumberFormat="1" applyFont="1" applyFill="1" applyBorder="1" applyAlignment="1">
      <alignment wrapText="1"/>
    </xf>
    <xf numFmtId="0" fontId="9" fillId="35" borderId="10" xfId="0" applyNumberFormat="1" applyFont="1" applyFill="1" applyBorder="1" applyAlignment="1">
      <alignment horizontal="center" wrapText="1"/>
    </xf>
    <xf numFmtId="172" fontId="2" fillId="35" borderId="10" xfId="0" applyNumberFormat="1" applyFont="1" applyFill="1" applyBorder="1" applyAlignment="1">
      <alignment/>
    </xf>
    <xf numFmtId="0" fontId="7" fillId="35" borderId="0" xfId="0" applyFont="1" applyFill="1" applyAlignment="1">
      <alignment wrapText="1"/>
    </xf>
    <xf numFmtId="0" fontId="2" fillId="35" borderId="10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49" fontId="2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3:O19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5.875" style="0" customWidth="1"/>
    <col min="2" max="2" width="23.25390625" style="0" customWidth="1"/>
    <col min="3" max="4" width="10.875" style="0" customWidth="1"/>
    <col min="5" max="5" width="9.875" style="0" customWidth="1"/>
    <col min="6" max="6" width="9.625" style="0" bestFit="1" customWidth="1"/>
    <col min="7" max="7" width="11.125" style="0" customWidth="1"/>
    <col min="8" max="8" width="10.875" style="0" customWidth="1"/>
    <col min="9" max="9" width="9.25390625" style="0" bestFit="1" customWidth="1"/>
    <col min="10" max="10" width="10.125" style="0" customWidth="1"/>
    <col min="12" max="12" width="13.25390625" style="0" customWidth="1"/>
    <col min="13" max="13" width="12.25390625" style="0" customWidth="1"/>
    <col min="14" max="14" width="11.875" style="0" bestFit="1" customWidth="1"/>
    <col min="15" max="15" width="9.25390625" style="19" bestFit="1" customWidth="1"/>
  </cols>
  <sheetData>
    <row r="3" spans="1:9" ht="18">
      <c r="A3" s="136" t="s">
        <v>136</v>
      </c>
      <c r="B3" s="136"/>
      <c r="C3" s="136"/>
      <c r="D3" s="136"/>
      <c r="E3" s="136"/>
      <c r="F3" s="136"/>
      <c r="G3" s="136"/>
      <c r="H3" s="136"/>
      <c r="I3" s="136"/>
    </row>
    <row r="5" spans="1:14" ht="12.75">
      <c r="A5" s="137" t="s">
        <v>0</v>
      </c>
      <c r="B5" s="138" t="s">
        <v>1</v>
      </c>
      <c r="C5" s="140" t="s">
        <v>91</v>
      </c>
      <c r="D5" s="140"/>
      <c r="E5" s="140"/>
      <c r="F5" s="140"/>
      <c r="G5" s="140" t="s">
        <v>92</v>
      </c>
      <c r="H5" s="140"/>
      <c r="I5" s="140"/>
      <c r="J5" s="140" t="s">
        <v>93</v>
      </c>
      <c r="K5" s="140"/>
      <c r="L5" s="140"/>
      <c r="M5" s="142" t="s">
        <v>143</v>
      </c>
      <c r="N5" s="144"/>
    </row>
    <row r="6" spans="1:15" ht="102">
      <c r="A6" s="137"/>
      <c r="B6" s="139"/>
      <c r="C6" s="11" t="s">
        <v>137</v>
      </c>
      <c r="D6" s="11" t="s">
        <v>131</v>
      </c>
      <c r="E6" s="11" t="s">
        <v>94</v>
      </c>
      <c r="F6" s="47" t="s">
        <v>138</v>
      </c>
      <c r="G6" s="47" t="s">
        <v>139</v>
      </c>
      <c r="H6" s="47" t="s">
        <v>94</v>
      </c>
      <c r="I6" s="47" t="s">
        <v>140</v>
      </c>
      <c r="J6" s="50" t="s">
        <v>141</v>
      </c>
      <c r="K6" s="47" t="s">
        <v>94</v>
      </c>
      <c r="L6" s="50" t="s">
        <v>142</v>
      </c>
      <c r="M6" s="142"/>
      <c r="N6" s="144"/>
      <c r="O6" s="44"/>
    </row>
    <row r="7" spans="1:14" ht="25.5">
      <c r="A7" s="3">
        <v>1</v>
      </c>
      <c r="B7" s="2" t="s">
        <v>3</v>
      </c>
      <c r="C7" s="126">
        <v>237000</v>
      </c>
      <c r="D7" s="49">
        <v>15</v>
      </c>
      <c r="E7" s="49">
        <f>C7/C17</f>
        <v>0.24907322689814296</v>
      </c>
      <c r="F7" s="51">
        <f>F17*E7</f>
        <v>113897.02713763158</v>
      </c>
      <c r="G7" s="69">
        <v>10800</v>
      </c>
      <c r="H7" s="51">
        <f>G7/G17</f>
        <v>0.1780121971320257</v>
      </c>
      <c r="I7" s="69">
        <f>I17*H7</f>
        <v>9586.401846052415</v>
      </c>
      <c r="J7" s="51">
        <v>7400</v>
      </c>
      <c r="K7" s="51">
        <f>J7/J17</f>
        <v>0.48334421946440237</v>
      </c>
      <c r="L7" s="51">
        <f>L17*K7</f>
        <v>3559.7335075114306</v>
      </c>
      <c r="M7" s="15">
        <f>F7+I7+L7</f>
        <v>127043.16249119541</v>
      </c>
      <c r="N7" s="128"/>
    </row>
    <row r="8" spans="1:14" ht="25.5">
      <c r="A8" s="3">
        <v>2</v>
      </c>
      <c r="B8" s="2" t="s">
        <v>135</v>
      </c>
      <c r="C8" s="126">
        <v>50000</v>
      </c>
      <c r="D8" s="49">
        <v>7</v>
      </c>
      <c r="E8" s="49">
        <f>C8/C17</f>
        <v>0.05254709428230864</v>
      </c>
      <c r="F8" s="51">
        <f>F17*E8</f>
        <v>24028.908678825224</v>
      </c>
      <c r="G8" s="69">
        <v>2000</v>
      </c>
      <c r="H8" s="51">
        <f>G8/G17</f>
        <v>0.032965221691115876</v>
      </c>
      <c r="I8" s="69">
        <f>I17*H8</f>
        <v>1775.2596011208177</v>
      </c>
      <c r="J8" s="51">
        <v>1500</v>
      </c>
      <c r="K8" s="51">
        <f>J8/J17</f>
        <v>0.09797517962116264</v>
      </c>
      <c r="L8" s="51">
        <f>L17*K8</f>
        <v>721.5676028739387</v>
      </c>
      <c r="M8" s="15">
        <f aca="true" t="shared" si="0" ref="M8:M16">F8+I8+L8</f>
        <v>26525.735882819983</v>
      </c>
      <c r="N8" s="19"/>
    </row>
    <row r="9" spans="1:14" ht="25.5">
      <c r="A9" s="3">
        <v>3</v>
      </c>
      <c r="B9" s="2" t="s">
        <v>5</v>
      </c>
      <c r="C9" s="126">
        <v>17721.5</v>
      </c>
      <c r="D9" s="49">
        <v>7</v>
      </c>
      <c r="E9" s="49">
        <f>C9/C17</f>
        <v>0.01862426662647865</v>
      </c>
      <c r="F9" s="51">
        <f>F17*E9</f>
        <v>8516.566103036024</v>
      </c>
      <c r="G9" s="69">
        <v>1400</v>
      </c>
      <c r="H9" s="51">
        <f>G9/G17</f>
        <v>0.023075655183781112</v>
      </c>
      <c r="I9" s="69">
        <f>I17*H9</f>
        <v>1242.6817207845725</v>
      </c>
      <c r="J9" s="51">
        <v>400</v>
      </c>
      <c r="K9" s="51">
        <f>J9/J17</f>
        <v>0.02612671456564337</v>
      </c>
      <c r="L9" s="51">
        <f>L17*K9</f>
        <v>192.4180274330503</v>
      </c>
      <c r="M9" s="15">
        <f t="shared" si="0"/>
        <v>9951.665851253647</v>
      </c>
      <c r="N9" s="19"/>
    </row>
    <row r="10" spans="1:14" ht="25.5">
      <c r="A10" s="3">
        <v>4</v>
      </c>
      <c r="B10" s="2" t="s">
        <v>6</v>
      </c>
      <c r="C10" s="126">
        <v>16057.2</v>
      </c>
      <c r="D10" s="49">
        <v>7</v>
      </c>
      <c r="E10" s="49">
        <f>C10/C17</f>
        <v>0.016875184046197728</v>
      </c>
      <c r="F10" s="51">
        <f>F17*E10</f>
        <v>7716.739848752649</v>
      </c>
      <c r="G10" s="69">
        <v>5900</v>
      </c>
      <c r="H10" s="51">
        <f>G10/G17</f>
        <v>0.09724740398879182</v>
      </c>
      <c r="I10" s="69">
        <f>I17*H10</f>
        <v>5237.015823306411</v>
      </c>
      <c r="J10" s="51">
        <v>90</v>
      </c>
      <c r="K10" s="51">
        <f>J10/J17</f>
        <v>0.005878510777269758</v>
      </c>
      <c r="L10" s="51">
        <f>L17*K10</f>
        <v>43.29405617243631</v>
      </c>
      <c r="M10" s="15">
        <f t="shared" si="0"/>
        <v>12997.049728231497</v>
      </c>
      <c r="N10" s="19"/>
    </row>
    <row r="11" spans="1:14" ht="25.5">
      <c r="A11" s="3">
        <v>5</v>
      </c>
      <c r="B11" s="2" t="s">
        <v>7</v>
      </c>
      <c r="C11" s="126">
        <v>76914.3</v>
      </c>
      <c r="D11" s="49">
        <v>7</v>
      </c>
      <c r="E11" s="49">
        <f>C11/C17</f>
        <v>0.08083245947515542</v>
      </c>
      <c r="F11" s="51">
        <f>F17*E11</f>
        <v>36963.33381591534</v>
      </c>
      <c r="G11" s="69">
        <v>1500</v>
      </c>
      <c r="H11" s="51">
        <f>G11/G17</f>
        <v>0.024723916268336903</v>
      </c>
      <c r="I11" s="69">
        <f>I17*H11</f>
        <v>1331.444700840613</v>
      </c>
      <c r="J11" s="51">
        <v>350</v>
      </c>
      <c r="K11" s="51">
        <f>J11/J17</f>
        <v>0.022860875244937948</v>
      </c>
      <c r="L11" s="51">
        <f>L17*K11</f>
        <v>168.365774003919</v>
      </c>
      <c r="M11" s="15">
        <f t="shared" si="0"/>
        <v>38463.144290759876</v>
      </c>
      <c r="N11" s="19"/>
    </row>
    <row r="12" spans="1:14" ht="25.5">
      <c r="A12" s="3">
        <v>6</v>
      </c>
      <c r="B12" s="2" t="s">
        <v>8</v>
      </c>
      <c r="C12" s="126">
        <v>12894.3</v>
      </c>
      <c r="D12" s="49">
        <v>7</v>
      </c>
      <c r="E12" s="49">
        <f>C12/C17</f>
        <v>0.013551159956087445</v>
      </c>
      <c r="F12" s="51">
        <f>F17*E12</f>
        <v>6196.719143547522</v>
      </c>
      <c r="G12" s="69">
        <v>4000</v>
      </c>
      <c r="H12" s="51">
        <f>G12/G17</f>
        <v>0.06593044338223175</v>
      </c>
      <c r="I12" s="69">
        <f>I17*H12</f>
        <v>3550.5192022416354</v>
      </c>
      <c r="J12" s="51">
        <v>220</v>
      </c>
      <c r="K12" s="51">
        <f>J12/J17</f>
        <v>0.014369693011103853</v>
      </c>
      <c r="L12" s="51">
        <f>L17*K12</f>
        <v>105.82991508817766</v>
      </c>
      <c r="M12" s="15">
        <f t="shared" si="0"/>
        <v>9853.068260877335</v>
      </c>
      <c r="N12" s="19"/>
    </row>
    <row r="13" spans="1:14" ht="25.5">
      <c r="A13" s="3">
        <v>7</v>
      </c>
      <c r="B13" s="2" t="s">
        <v>9</v>
      </c>
      <c r="C13" s="126">
        <v>14214.3</v>
      </c>
      <c r="D13" s="49">
        <v>7</v>
      </c>
      <c r="E13" s="49">
        <f>C13/C17</f>
        <v>0.014938403245140393</v>
      </c>
      <c r="F13" s="51">
        <f>F17*E13</f>
        <v>6831.082332668508</v>
      </c>
      <c r="G13" s="69">
        <v>2200</v>
      </c>
      <c r="H13" s="51">
        <f>G13/G17</f>
        <v>0.03626174386022746</v>
      </c>
      <c r="I13" s="69">
        <f>I17*H13</f>
        <v>1952.7855612328992</v>
      </c>
      <c r="J13" s="51">
        <v>450</v>
      </c>
      <c r="K13" s="51">
        <f>J13/J17</f>
        <v>0.02939255388634879</v>
      </c>
      <c r="L13" s="51">
        <f>L17*K13</f>
        <v>216.4702808621816</v>
      </c>
      <c r="M13" s="15">
        <f t="shared" si="0"/>
        <v>9000.338174763589</v>
      </c>
      <c r="N13" s="19"/>
    </row>
    <row r="14" spans="1:14" ht="25.5">
      <c r="A14" s="3">
        <v>8</v>
      </c>
      <c r="B14" s="2" t="s">
        <v>10</v>
      </c>
      <c r="C14" s="126">
        <v>17257.2</v>
      </c>
      <c r="D14" s="49">
        <v>7</v>
      </c>
      <c r="E14" s="49">
        <f>C14/C17</f>
        <v>0.018136314308973132</v>
      </c>
      <c r="F14" s="51">
        <f>F17*E14</f>
        <v>8293.433657044454</v>
      </c>
      <c r="G14" s="69">
        <v>1250</v>
      </c>
      <c r="H14" s="51">
        <f>G14/G17</f>
        <v>0.02060326355694742</v>
      </c>
      <c r="I14" s="69">
        <f>I17*H14</f>
        <v>1109.5372507005109</v>
      </c>
      <c r="J14" s="51">
        <v>200</v>
      </c>
      <c r="K14" s="51">
        <f>J14/J17</f>
        <v>0.013063357282821686</v>
      </c>
      <c r="L14" s="51">
        <f>L17*K14</f>
        <v>96.20901371652515</v>
      </c>
      <c r="M14" s="15">
        <f t="shared" si="0"/>
        <v>9499.17992146149</v>
      </c>
      <c r="N14" s="19"/>
    </row>
    <row r="15" spans="1:14" ht="25.5">
      <c r="A15" s="3">
        <v>9</v>
      </c>
      <c r="B15" s="2" t="s">
        <v>11</v>
      </c>
      <c r="C15" s="126">
        <v>19200</v>
      </c>
      <c r="D15" s="49">
        <v>7</v>
      </c>
      <c r="E15" s="49">
        <f>C15/C17</f>
        <v>0.02017808420440652</v>
      </c>
      <c r="F15" s="51">
        <f>F17*E15</f>
        <v>9227.100932668887</v>
      </c>
      <c r="G15" s="69">
        <v>4500</v>
      </c>
      <c r="H15" s="51">
        <f>G15/G17</f>
        <v>0.07417174880501072</v>
      </c>
      <c r="I15" s="69">
        <f>I17*H15</f>
        <v>3994.3341025218397</v>
      </c>
      <c r="J15" s="51">
        <v>1000</v>
      </c>
      <c r="K15" s="51">
        <f>J15/J17</f>
        <v>0.06531678641410843</v>
      </c>
      <c r="L15" s="51">
        <f>L17*K15</f>
        <v>481.0450685826258</v>
      </c>
      <c r="M15" s="15">
        <f t="shared" si="0"/>
        <v>13702.480103773352</v>
      </c>
      <c r="N15" s="19"/>
    </row>
    <row r="16" spans="1:14" ht="25.5">
      <c r="A16" s="4">
        <v>10</v>
      </c>
      <c r="B16" s="2" t="s">
        <v>12</v>
      </c>
      <c r="C16" s="126">
        <v>490268.6</v>
      </c>
      <c r="D16" s="49">
        <v>7</v>
      </c>
      <c r="E16" s="49">
        <f>C16/C17</f>
        <v>0.5152438069571091</v>
      </c>
      <c r="F16" s="51">
        <f>F17*E16</f>
        <v>235612.38834990983</v>
      </c>
      <c r="G16" s="69">
        <v>27120</v>
      </c>
      <c r="H16" s="51">
        <f>G16/G17</f>
        <v>0.44700840613153126</v>
      </c>
      <c r="I16" s="69">
        <f>I17*H16</f>
        <v>24072.520191198288</v>
      </c>
      <c r="J16" s="51">
        <v>3700</v>
      </c>
      <c r="K16" s="51">
        <f>J16/J17</f>
        <v>0.24167210973220118</v>
      </c>
      <c r="L16" s="51">
        <f>L17*K16</f>
        <v>1779.8667537557153</v>
      </c>
      <c r="M16" s="15">
        <f t="shared" si="0"/>
        <v>261464.77529486385</v>
      </c>
      <c r="N16" s="19"/>
    </row>
    <row r="17" spans="1:14" ht="12.75">
      <c r="A17" s="3"/>
      <c r="B17" s="11" t="s">
        <v>15</v>
      </c>
      <c r="C17" s="127">
        <f>C7+C8+C9+C10+C11+C12+C13+C14+C15+C16</f>
        <v>951527.3999999999</v>
      </c>
      <c r="D17" s="15"/>
      <c r="E17" s="15">
        <f aca="true" t="shared" si="1" ref="E17:K17">E7+E8+E9+E10+E11+E12+E13+E14+E15+E16</f>
        <v>1</v>
      </c>
      <c r="F17" s="57">
        <v>457283.3</v>
      </c>
      <c r="G17" s="57">
        <f>G7+G8+G9+G10+G11+G12+G13+G14+G15+G16</f>
        <v>60670</v>
      </c>
      <c r="H17" s="57">
        <f t="shared" si="1"/>
        <v>1</v>
      </c>
      <c r="I17" s="57">
        <v>53852.5</v>
      </c>
      <c r="J17" s="57">
        <f t="shared" si="1"/>
        <v>15310</v>
      </c>
      <c r="K17" s="57">
        <f t="shared" si="1"/>
        <v>1</v>
      </c>
      <c r="L17" s="57">
        <v>7364.8</v>
      </c>
      <c r="M17" s="15">
        <f>F17+I17+L17</f>
        <v>518500.6</v>
      </c>
      <c r="N17" s="19"/>
    </row>
    <row r="18" spans="9:13" ht="12.75">
      <c r="I18" s="19"/>
      <c r="M18" s="19"/>
    </row>
    <row r="19" spans="1:13" ht="17.25" customHeight="1">
      <c r="A19" s="141"/>
      <c r="B19" s="141"/>
      <c r="C19" s="141"/>
      <c r="D19" s="112"/>
      <c r="E19" s="143"/>
      <c r="F19" s="143"/>
      <c r="G19" s="143"/>
      <c r="K19" s="143"/>
      <c r="L19" s="143"/>
      <c r="M19" s="143"/>
    </row>
    <row r="20" ht="40.5" customHeight="1"/>
    <row r="21" ht="40.5" customHeight="1"/>
  </sheetData>
  <sheetProtection/>
  <mergeCells count="11">
    <mergeCell ref="J5:L5"/>
    <mergeCell ref="M5:M6"/>
    <mergeCell ref="E19:G19"/>
    <mergeCell ref="K19:M19"/>
    <mergeCell ref="N5:N6"/>
    <mergeCell ref="A3:I3"/>
    <mergeCell ref="A5:A6"/>
    <mergeCell ref="B5:B6"/>
    <mergeCell ref="C5:F5"/>
    <mergeCell ref="G5:I5"/>
    <mergeCell ref="A19:C1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F18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5.625" style="0" customWidth="1"/>
    <col min="2" max="2" width="33.625" style="0" customWidth="1"/>
    <col min="3" max="3" width="11.875" style="39" customWidth="1"/>
    <col min="4" max="4" width="15.75390625" style="19" customWidth="1"/>
  </cols>
  <sheetData>
    <row r="2" spans="1:4" ht="39" customHeight="1">
      <c r="A2" s="145" t="s">
        <v>150</v>
      </c>
      <c r="B2" s="145"/>
      <c r="C2" s="145"/>
      <c r="D2" s="145"/>
    </row>
    <row r="3" spans="1:4" ht="12.75">
      <c r="A3" s="10"/>
      <c r="B3" s="10"/>
      <c r="C3" s="37"/>
      <c r="D3" s="70"/>
    </row>
    <row r="5" spans="1:6" ht="38.25">
      <c r="A5" s="2" t="s">
        <v>0</v>
      </c>
      <c r="B5" s="2" t="s">
        <v>1</v>
      </c>
      <c r="C5" s="38" t="s">
        <v>13</v>
      </c>
      <c r="D5" s="71" t="s">
        <v>109</v>
      </c>
      <c r="E5" s="81"/>
      <c r="F5" s="82"/>
    </row>
    <row r="6" spans="1:6" ht="25.5">
      <c r="A6" s="3">
        <v>1</v>
      </c>
      <c r="B6" s="2" t="s">
        <v>3</v>
      </c>
      <c r="C6" s="6">
        <f>'Коэф.масшт.'!C5</f>
        <v>13023</v>
      </c>
      <c r="D6" s="123">
        <f>C6*(D16/C16)</f>
        <v>6364.561826587978</v>
      </c>
      <c r="E6" s="82"/>
      <c r="F6" s="82"/>
    </row>
    <row r="7" spans="1:6" ht="12.75">
      <c r="A7" s="3">
        <v>2</v>
      </c>
      <c r="B7" s="2" t="s">
        <v>135</v>
      </c>
      <c r="C7" s="6">
        <f>'Коэф.масшт.'!C6</f>
        <v>6546</v>
      </c>
      <c r="D7" s="123">
        <f>C7*D16/C16</f>
        <v>3199.141650683015</v>
      </c>
      <c r="E7" s="82"/>
      <c r="F7" s="82"/>
    </row>
    <row r="8" spans="1:6" ht="12.75">
      <c r="A8" s="3">
        <v>3</v>
      </c>
      <c r="B8" s="2" t="s">
        <v>5</v>
      </c>
      <c r="C8" s="6">
        <f>'Коэф.масшт.'!C7</f>
        <v>1697</v>
      </c>
      <c r="D8" s="123">
        <f>C8*D16/C16</f>
        <v>829.3527927297704</v>
      </c>
      <c r="E8" s="82"/>
      <c r="F8" s="82"/>
    </row>
    <row r="9" spans="1:6" ht="12.75">
      <c r="A9" s="3">
        <v>4</v>
      </c>
      <c r="B9" s="2" t="s">
        <v>6</v>
      </c>
      <c r="C9" s="6">
        <f>'Коэф.масшт.'!C8</f>
        <v>1315</v>
      </c>
      <c r="D9" s="123">
        <f>C9*D16/C16</f>
        <v>642.6628888860625</v>
      </c>
      <c r="E9" s="82"/>
      <c r="F9" s="82"/>
    </row>
    <row r="10" spans="1:6" ht="12.75">
      <c r="A10" s="3">
        <v>5</v>
      </c>
      <c r="B10" s="2" t="s">
        <v>7</v>
      </c>
      <c r="C10" s="6">
        <f>'Коэф.масшт.'!C9</f>
        <v>1768</v>
      </c>
      <c r="D10" s="123">
        <f>C10*D16/C16</f>
        <v>864.0517015593601</v>
      </c>
      <c r="E10" s="82"/>
      <c r="F10" s="82"/>
    </row>
    <row r="11" spans="1:6" ht="12.75">
      <c r="A11" s="3">
        <v>6</v>
      </c>
      <c r="B11" s="2" t="s">
        <v>8</v>
      </c>
      <c r="C11" s="6">
        <f>'Коэф.масшт.'!C10</f>
        <v>1992</v>
      </c>
      <c r="D11" s="123">
        <f>C11*D16/C16</f>
        <v>973.5243153315868</v>
      </c>
      <c r="E11" s="82"/>
      <c r="F11" s="82"/>
    </row>
    <row r="12" spans="1:6" ht="12.75">
      <c r="A12" s="3">
        <v>7</v>
      </c>
      <c r="B12" s="2" t="s">
        <v>9</v>
      </c>
      <c r="C12" s="6">
        <f>'Коэф.масшт.'!C11</f>
        <v>2888</v>
      </c>
      <c r="D12" s="123">
        <f>C12*D16/C16</f>
        <v>1411.4147704204931</v>
      </c>
      <c r="E12" s="82"/>
      <c r="F12" s="82"/>
    </row>
    <row r="13" spans="1:6" ht="25.5">
      <c r="A13" s="3">
        <v>8</v>
      </c>
      <c r="B13" s="2" t="s">
        <v>10</v>
      </c>
      <c r="C13" s="6">
        <f>'Коэф.масшт.'!C12</f>
        <v>2390</v>
      </c>
      <c r="D13" s="123">
        <f>C13*D16/C16</f>
        <v>1168.0336915875964</v>
      </c>
      <c r="E13" s="82"/>
      <c r="F13" s="82"/>
    </row>
    <row r="14" spans="1:6" ht="12.75">
      <c r="A14" s="3">
        <v>9</v>
      </c>
      <c r="B14" s="2" t="s">
        <v>11</v>
      </c>
      <c r="C14" s="6">
        <f>'Коэф.масшт.'!C13</f>
        <v>2504</v>
      </c>
      <c r="D14" s="123">
        <f>C14*D16/C16</f>
        <v>1223.7474325252476</v>
      </c>
      <c r="E14" s="82"/>
      <c r="F14" s="82"/>
    </row>
    <row r="15" spans="1:6" ht="12.75">
      <c r="A15" s="4">
        <v>10</v>
      </c>
      <c r="B15" s="2" t="s">
        <v>12</v>
      </c>
      <c r="C15" s="6">
        <f>'Коэф.масшт.'!C14</f>
        <v>5188</v>
      </c>
      <c r="D15" s="123">
        <f>C15*D16/C16</f>
        <v>2535.4639296888913</v>
      </c>
      <c r="E15" s="82"/>
      <c r="F15" s="82"/>
    </row>
    <row r="16" spans="1:6" ht="12.75">
      <c r="A16" s="3"/>
      <c r="B16" s="11" t="s">
        <v>15</v>
      </c>
      <c r="C16" s="23">
        <f>SUM(C6:C15)</f>
        <v>39311</v>
      </c>
      <c r="D16" s="124">
        <f>19215.2-3.245</f>
        <v>19211.955</v>
      </c>
      <c r="E16" s="83"/>
      <c r="F16" s="82"/>
    </row>
    <row r="17" spans="2:4" ht="12.75">
      <c r="B17" s="1"/>
      <c r="D17" s="125"/>
    </row>
    <row r="18" spans="2:4" ht="12.75">
      <c r="B18" s="1"/>
      <c r="C18" s="1"/>
      <c r="D18" s="8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R18"/>
  <sheetViews>
    <sheetView view="pageBreakPreview" zoomScale="77" zoomScaleNormal="85" zoomScaleSheetLayoutView="77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5" sqref="Y5"/>
    </sheetView>
  </sheetViews>
  <sheetFormatPr defaultColWidth="9.00390625" defaultRowHeight="12.75"/>
  <cols>
    <col min="1" max="1" width="3.625" style="0" customWidth="1"/>
    <col min="2" max="2" width="19.00390625" style="0" customWidth="1"/>
    <col min="3" max="3" width="12.25390625" style="0" customWidth="1"/>
    <col min="4" max="4" width="11.00390625" style="0" customWidth="1"/>
    <col min="5" max="5" width="12.75390625" style="19" customWidth="1"/>
    <col min="6" max="6" width="12.375" style="129" customWidth="1"/>
    <col min="7" max="7" width="12.00390625" style="34" customWidth="1"/>
    <col min="8" max="8" width="10.875" style="34" customWidth="1"/>
    <col min="9" max="9" width="16.125" style="0" customWidth="1"/>
    <col min="10" max="10" width="11.25390625" style="92" customWidth="1"/>
    <col min="11" max="11" width="11.125" style="46" customWidth="1"/>
    <col min="12" max="12" width="13.375" style="46" customWidth="1"/>
    <col min="13" max="13" width="16.75390625" style="46" customWidth="1"/>
    <col min="14" max="14" width="13.875" style="46" customWidth="1"/>
    <col min="15" max="15" width="13.125" style="135" customWidth="1"/>
    <col min="16" max="16" width="0.2421875" style="31" hidden="1" customWidth="1"/>
    <col min="17" max="17" width="9.25390625" style="78" hidden="1" customWidth="1"/>
    <col min="18" max="18" width="12.75390625" style="129" customWidth="1"/>
  </cols>
  <sheetData>
    <row r="1" spans="1:18" ht="54" customHeight="1">
      <c r="A1" s="150" t="s">
        <v>151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72"/>
      <c r="O1" s="133"/>
      <c r="P1" s="80"/>
      <c r="Q1" s="97"/>
      <c r="R1" s="133"/>
    </row>
    <row r="2" spans="15:17" ht="1.5" customHeight="1">
      <c r="O2" s="129"/>
      <c r="P2" s="27"/>
      <c r="Q2" s="120"/>
    </row>
    <row r="3" spans="1:18" ht="174" customHeight="1">
      <c r="A3" s="2" t="s">
        <v>0</v>
      </c>
      <c r="B3" s="2" t="s">
        <v>1</v>
      </c>
      <c r="C3" s="28" t="s">
        <v>13</v>
      </c>
      <c r="D3" s="28" t="s">
        <v>152</v>
      </c>
      <c r="E3" s="25" t="s">
        <v>153</v>
      </c>
      <c r="F3" s="130" t="s">
        <v>89</v>
      </c>
      <c r="G3" s="41" t="s">
        <v>88</v>
      </c>
      <c r="H3" s="41" t="s">
        <v>102</v>
      </c>
      <c r="I3" s="2" t="s">
        <v>114</v>
      </c>
      <c r="J3" s="47" t="s">
        <v>97</v>
      </c>
      <c r="K3" s="107" t="s">
        <v>117</v>
      </c>
      <c r="L3" s="41" t="s">
        <v>122</v>
      </c>
      <c r="M3" s="2" t="s">
        <v>103</v>
      </c>
      <c r="N3" s="11" t="s">
        <v>107</v>
      </c>
      <c r="O3" s="130" t="s">
        <v>155</v>
      </c>
      <c r="P3" s="26" t="s">
        <v>132</v>
      </c>
      <c r="Q3" s="121" t="s">
        <v>133</v>
      </c>
      <c r="R3" s="130" t="s">
        <v>156</v>
      </c>
    </row>
    <row r="4" spans="1:18" ht="12.75">
      <c r="A4" s="18">
        <v>1</v>
      </c>
      <c r="B4" s="18">
        <v>2</v>
      </c>
      <c r="C4" s="18">
        <v>3</v>
      </c>
      <c r="D4" s="18"/>
      <c r="E4" s="43">
        <v>4</v>
      </c>
      <c r="F4" s="131" t="s">
        <v>90</v>
      </c>
      <c r="G4" s="43">
        <v>5</v>
      </c>
      <c r="H4" s="43">
        <v>6</v>
      </c>
      <c r="I4" s="18">
        <v>7</v>
      </c>
      <c r="J4" s="66">
        <v>8</v>
      </c>
      <c r="K4" s="36"/>
      <c r="L4" s="36"/>
      <c r="M4" s="36"/>
      <c r="N4" s="36"/>
      <c r="O4" s="134"/>
      <c r="P4" s="68"/>
      <c r="Q4" s="122"/>
      <c r="R4" s="134"/>
    </row>
    <row r="5" spans="1:18" ht="36.75" customHeight="1">
      <c r="A5" s="3">
        <v>1</v>
      </c>
      <c r="B5" s="2" t="s">
        <v>3</v>
      </c>
      <c r="C5" s="6">
        <f>'Коэф.масшт.'!C5</f>
        <v>13023</v>
      </c>
      <c r="D5" s="6">
        <f>'Налоговый потен'!M7</f>
        <v>127043.16249119541</v>
      </c>
      <c r="E5" s="8">
        <v>58071.3</v>
      </c>
      <c r="F5" s="132">
        <f>'субв от числ уточ'!D6</f>
        <v>6364.561826587978</v>
      </c>
      <c r="G5" s="5">
        <f>ИБР!S7</f>
        <v>1.1361950957741072</v>
      </c>
      <c r="H5" s="5">
        <f>БО!D6</f>
        <v>0.6591449662051271</v>
      </c>
      <c r="I5" s="8"/>
      <c r="J5" s="57"/>
      <c r="K5" s="90">
        <f>БО!G6</f>
        <v>0.6547753310643203</v>
      </c>
      <c r="L5" s="88">
        <f aca="true" t="shared" si="0" ref="L5:L14">E5+F5+J5</f>
        <v>64435.86182658798</v>
      </c>
      <c r="M5" s="57"/>
      <c r="N5" s="62"/>
      <c r="O5" s="132">
        <f aca="true" t="shared" si="1" ref="O5:O14">J5+N5</f>
        <v>0</v>
      </c>
      <c r="P5" s="15">
        <v>0</v>
      </c>
      <c r="Q5" s="49">
        <f aca="true" t="shared" si="2" ref="Q5:Q14">O5-P5</f>
        <v>0</v>
      </c>
      <c r="R5" s="132">
        <f aca="true" t="shared" si="3" ref="R5:R14">F5+O5</f>
        <v>6364.561826587978</v>
      </c>
    </row>
    <row r="6" spans="1:18" ht="39.75" customHeight="1">
      <c r="A6" s="3">
        <v>2</v>
      </c>
      <c r="B6" s="2" t="s">
        <v>135</v>
      </c>
      <c r="C6" s="6">
        <f>'Коэф.масшт.'!C6</f>
        <v>6546</v>
      </c>
      <c r="D6" s="6">
        <f>'Налоговый потен'!M8</f>
        <v>26525.735882819983</v>
      </c>
      <c r="E6" s="8">
        <v>7900</v>
      </c>
      <c r="F6" s="132">
        <f>'субв от числ уточ'!D7</f>
        <v>3199.141650683015</v>
      </c>
      <c r="G6" s="5">
        <f>ИБР!S8</f>
        <v>1.312834173541094</v>
      </c>
      <c r="H6" s="5">
        <f>БО!D7</f>
        <v>0.25287046939231683</v>
      </c>
      <c r="I6" s="8">
        <f>(E15/C15)*(H16-H6)*G6*C6</f>
        <v>24186.80509928541</v>
      </c>
      <c r="J6" s="62">
        <f aca="true" t="shared" si="4" ref="J6:J13">I6*0.026</f>
        <v>628.8569325814207</v>
      </c>
      <c r="K6" s="90">
        <f>БО!G7</f>
        <v>0.2565083696654696</v>
      </c>
      <c r="L6" s="88">
        <f t="shared" si="0"/>
        <v>11727.998583264436</v>
      </c>
      <c r="M6" s="57">
        <f>(L15/C15)*(K16-K6)*G6*C6</f>
        <v>13400.037294607979</v>
      </c>
      <c r="N6" s="62">
        <f>(4500-J15)*M6/M15</f>
        <v>226.32962458768407</v>
      </c>
      <c r="O6" s="132">
        <f t="shared" si="1"/>
        <v>855.1865571691047</v>
      </c>
      <c r="P6" s="15">
        <v>241.34851528354503</v>
      </c>
      <c r="Q6" s="49">
        <f t="shared" si="2"/>
        <v>613.8380418855597</v>
      </c>
      <c r="R6" s="132">
        <f t="shared" si="3"/>
        <v>4054.3282078521197</v>
      </c>
    </row>
    <row r="7" spans="1:18" ht="42" customHeight="1">
      <c r="A7" s="3">
        <v>3</v>
      </c>
      <c r="B7" s="2" t="s">
        <v>5</v>
      </c>
      <c r="C7" s="6">
        <f>'Коэф.масшт.'!C7</f>
        <v>1697</v>
      </c>
      <c r="D7" s="6">
        <f>'Налоговый потен'!M9</f>
        <v>9951.665851253647</v>
      </c>
      <c r="E7" s="8">
        <v>3940.5</v>
      </c>
      <c r="F7" s="132">
        <f>'субв от числ уточ'!D8</f>
        <v>829.3527927297704</v>
      </c>
      <c r="G7" s="5">
        <f>ИБР!S9</f>
        <v>4.104369849845612</v>
      </c>
      <c r="H7" s="5">
        <f>БО!D8</f>
        <v>0.11316063629579154</v>
      </c>
      <c r="I7" s="8">
        <f>(E15/C15)*(H16-H7)*G7*C7</f>
        <v>23989.12214940855</v>
      </c>
      <c r="J7" s="62">
        <f t="shared" si="4"/>
        <v>623.7171758846223</v>
      </c>
      <c r="K7" s="90">
        <f>БО!G8</f>
        <v>0.11891377942303995</v>
      </c>
      <c r="L7" s="88">
        <f t="shared" si="0"/>
        <v>5393.569968614393</v>
      </c>
      <c r="M7" s="57">
        <f>(L15/C15)*(K16-K7)*G7*C7</f>
        <v>15736.101295941859</v>
      </c>
      <c r="N7" s="62">
        <f>(4500-J15)*M7/M15</f>
        <v>265.78626764101733</v>
      </c>
      <c r="O7" s="132">
        <f t="shared" si="1"/>
        <v>889.5034435256396</v>
      </c>
      <c r="P7" s="15">
        <v>941.1911940223606</v>
      </c>
      <c r="Q7" s="49">
        <f t="shared" si="2"/>
        <v>-51.68775049672104</v>
      </c>
      <c r="R7" s="132">
        <f t="shared" si="3"/>
        <v>1718.8562362554098</v>
      </c>
    </row>
    <row r="8" spans="1:18" ht="36" customHeight="1">
      <c r="A8" s="3">
        <v>4</v>
      </c>
      <c r="B8" s="2" t="s">
        <v>6</v>
      </c>
      <c r="C8" s="6">
        <f>'Коэф.масшт.'!C8</f>
        <v>1315</v>
      </c>
      <c r="D8" s="6">
        <f>'Налоговый потен'!M10</f>
        <v>12997.049728231497</v>
      </c>
      <c r="E8" s="8">
        <v>7514</v>
      </c>
      <c r="F8" s="132">
        <f>'субв от числ уточ'!D9</f>
        <v>642.6628888860625</v>
      </c>
      <c r="G8" s="5">
        <f>ИБР!S10</f>
        <v>4.003814195810643</v>
      </c>
      <c r="H8" s="5">
        <f>БО!D9</f>
        <v>0.18939541749770247</v>
      </c>
      <c r="I8" s="8">
        <f>(E15/C15)*(H16-H8)*G8*C8</f>
        <v>16324.474704496119</v>
      </c>
      <c r="J8" s="62">
        <f t="shared" si="4"/>
        <v>424.4363423168991</v>
      </c>
      <c r="K8" s="90">
        <f>БО!G9</f>
        <v>0.19399434640396993</v>
      </c>
      <c r="L8" s="88">
        <f t="shared" si="0"/>
        <v>8581.099231202961</v>
      </c>
      <c r="M8" s="57"/>
      <c r="N8" s="62">
        <f>(4500-J15)*M8/M15</f>
        <v>0</v>
      </c>
      <c r="O8" s="132">
        <f t="shared" si="1"/>
        <v>424.4363423168991</v>
      </c>
      <c r="P8" s="15">
        <v>125.43453098840365</v>
      </c>
      <c r="Q8" s="49">
        <f t="shared" si="2"/>
        <v>299.0018113284954</v>
      </c>
      <c r="R8" s="132">
        <f t="shared" si="3"/>
        <v>1067.0992312029616</v>
      </c>
    </row>
    <row r="9" spans="1:18" ht="25.5">
      <c r="A9" s="3">
        <v>5</v>
      </c>
      <c r="B9" s="2" t="s">
        <v>7</v>
      </c>
      <c r="C9" s="6">
        <f>'Коэф.масшт.'!C9</f>
        <v>1768</v>
      </c>
      <c r="D9" s="6">
        <f>'Налоговый потен'!M11</f>
        <v>38463.144290759876</v>
      </c>
      <c r="E9" s="8">
        <v>15642.4</v>
      </c>
      <c r="F9" s="132">
        <f>'субв от числ уточ'!D10</f>
        <v>864.0517015593601</v>
      </c>
      <c r="G9" s="5">
        <f>ИБР!S11</f>
        <v>2.888752062636022</v>
      </c>
      <c r="H9" s="5">
        <f>БО!D10</f>
        <v>0.5629429284649319</v>
      </c>
      <c r="I9" s="8">
        <f>(E15/C15)*(H16-H9)*G9*C9</f>
        <v>7236.057428137042</v>
      </c>
      <c r="J9" s="62">
        <f t="shared" si="4"/>
        <v>188.13749313156308</v>
      </c>
      <c r="K9" s="90">
        <f>БО!G10</f>
        <v>0.561886251851345</v>
      </c>
      <c r="L9" s="88">
        <f t="shared" si="0"/>
        <v>16694.58919469092</v>
      </c>
      <c r="M9" s="57">
        <f>(L15/C15)*(K16-K9)*G9*C9</f>
        <v>28.938834637240713</v>
      </c>
      <c r="N9" s="62">
        <f>(4500-J15)*M9/M15</f>
        <v>0.4887833843632129</v>
      </c>
      <c r="O9" s="132">
        <f t="shared" si="1"/>
        <v>188.6262765159263</v>
      </c>
      <c r="P9" s="15">
        <v>541.2806891713745</v>
      </c>
      <c r="Q9" s="49">
        <f t="shared" si="2"/>
        <v>-352.65441265544825</v>
      </c>
      <c r="R9" s="132">
        <f t="shared" si="3"/>
        <v>1052.6779780752863</v>
      </c>
    </row>
    <row r="10" spans="1:18" ht="35.25" customHeight="1">
      <c r="A10" s="3">
        <v>6</v>
      </c>
      <c r="B10" s="2" t="s">
        <v>8</v>
      </c>
      <c r="C10" s="6">
        <f>'Коэф.масшт.'!C10</f>
        <v>1992</v>
      </c>
      <c r="D10" s="6">
        <f>'Налоговый потен'!M12</f>
        <v>9853.068260877335</v>
      </c>
      <c r="E10" s="51">
        <v>5124</v>
      </c>
      <c r="F10" s="132">
        <f>'субв от числ уточ'!D11</f>
        <v>973.5243153315868</v>
      </c>
      <c r="G10" s="5">
        <f>ИБР!S12</f>
        <v>2.184254319955686</v>
      </c>
      <c r="H10" s="5">
        <f>БО!D11</f>
        <v>0.1819127633763493</v>
      </c>
      <c r="I10" s="8">
        <f>(E15/C15)*(H16-H10)*G10*C10</f>
        <v>13637.37631671807</v>
      </c>
      <c r="J10" s="62">
        <f t="shared" si="4"/>
        <v>354.5717842346698</v>
      </c>
      <c r="K10" s="90">
        <f>БО!G11</f>
        <v>0.18662498159310445</v>
      </c>
      <c r="L10" s="88">
        <f t="shared" si="0"/>
        <v>6452.096099566256</v>
      </c>
      <c r="M10" s="57"/>
      <c r="N10" s="62">
        <f>(4500-J15)*M10/M15</f>
        <v>0</v>
      </c>
      <c r="O10" s="132">
        <f t="shared" si="1"/>
        <v>354.5717842346698</v>
      </c>
      <c r="P10" s="15">
        <v>108.70195746812571</v>
      </c>
      <c r="Q10" s="49">
        <f t="shared" si="2"/>
        <v>245.86982676654407</v>
      </c>
      <c r="R10" s="132">
        <f t="shared" si="3"/>
        <v>1328.0960995662565</v>
      </c>
    </row>
    <row r="11" spans="1:18" ht="39.75" customHeight="1">
      <c r="A11" s="3">
        <v>7</v>
      </c>
      <c r="B11" s="2" t="s">
        <v>9</v>
      </c>
      <c r="C11" s="6">
        <f>'Коэф.масшт.'!C11</f>
        <v>2888</v>
      </c>
      <c r="D11" s="6">
        <f>'Налоговый потен'!M13</f>
        <v>9000.338174763589</v>
      </c>
      <c r="E11" s="8">
        <v>3660</v>
      </c>
      <c r="F11" s="132">
        <f>'субв от числ уточ'!D12</f>
        <v>1411.4147704204931</v>
      </c>
      <c r="G11" s="5">
        <f>ИБР!S13</f>
        <v>2.3094548275960642</v>
      </c>
      <c r="H11" s="5">
        <f>БО!D12</f>
        <v>0.11412508349614783</v>
      </c>
      <c r="I11" s="8">
        <f>(E15/C15)*(H16-H11)*G11*C11</f>
        <v>22942.681552114835</v>
      </c>
      <c r="J11" s="62">
        <f t="shared" si="4"/>
        <v>596.5097203549857</v>
      </c>
      <c r="K11" s="90">
        <f>БО!G12</f>
        <v>0.11986362464439812</v>
      </c>
      <c r="L11" s="88">
        <f t="shared" si="0"/>
        <v>5667.924490775479</v>
      </c>
      <c r="M11" s="57">
        <f>(L15/C15)*(K16-K11)*G11*C11</f>
        <v>15036.459043246294</v>
      </c>
      <c r="N11" s="62">
        <f>(4500-J15)*M11/M15</f>
        <v>253.96915363477592</v>
      </c>
      <c r="O11" s="132">
        <f t="shared" si="1"/>
        <v>850.4788739897616</v>
      </c>
      <c r="P11" s="15">
        <v>541.9637901983019</v>
      </c>
      <c r="Q11" s="49">
        <f t="shared" si="2"/>
        <v>308.5150837914597</v>
      </c>
      <c r="R11" s="132">
        <f t="shared" si="3"/>
        <v>2261.8936444102546</v>
      </c>
    </row>
    <row r="12" spans="1:18" ht="36" customHeight="1">
      <c r="A12" s="3">
        <v>8</v>
      </c>
      <c r="B12" s="2" t="s">
        <v>10</v>
      </c>
      <c r="C12" s="6">
        <f>'Коэф.масшт.'!C12</f>
        <v>2390</v>
      </c>
      <c r="D12" s="6">
        <f>'Налоговый потен'!M14</f>
        <v>9499.17992146149</v>
      </c>
      <c r="E12" s="8">
        <v>2808</v>
      </c>
      <c r="F12" s="132">
        <f>'субв от числ уточ'!D13</f>
        <v>1168.0336915875964</v>
      </c>
      <c r="G12" s="5">
        <f>ИБР!S14</f>
        <v>2.0247755479521388</v>
      </c>
      <c r="H12" s="5">
        <f>БО!D13</f>
        <v>0.16115363959053514</v>
      </c>
      <c r="I12" s="8">
        <f>(E15/C15)*(H16-H12)*G12*C12</f>
        <v>15620.277875306838</v>
      </c>
      <c r="J12" s="62">
        <f t="shared" si="4"/>
        <v>406.1272247579778</v>
      </c>
      <c r="K12" s="90">
        <f>БО!G13</f>
        <v>0.16618015628773367</v>
      </c>
      <c r="L12" s="88">
        <f t="shared" si="0"/>
        <v>4382.160916345574</v>
      </c>
      <c r="M12" s="57">
        <f>(L15/C15)*(K16-K12)*G12*C12</f>
        <v>9769.440313172547</v>
      </c>
      <c r="N12" s="62">
        <f>(4500-J15)*M12/M15</f>
        <v>165.0080301942037</v>
      </c>
      <c r="O12" s="132">
        <f t="shared" si="1"/>
        <v>571.1352549521815</v>
      </c>
      <c r="P12" s="15">
        <v>400.6436276232705</v>
      </c>
      <c r="Q12" s="49">
        <f t="shared" si="2"/>
        <v>170.49162732891102</v>
      </c>
      <c r="R12" s="132">
        <f t="shared" si="3"/>
        <v>1739.168946539778</v>
      </c>
    </row>
    <row r="13" spans="1:18" ht="38.25" customHeight="1">
      <c r="A13" s="3">
        <v>9</v>
      </c>
      <c r="B13" s="2" t="s">
        <v>11</v>
      </c>
      <c r="C13" s="6">
        <f>'Коэф.масшт.'!C13</f>
        <v>2504</v>
      </c>
      <c r="D13" s="6">
        <f>'Налоговый потен'!M15</f>
        <v>13702.480103773352</v>
      </c>
      <c r="E13" s="8">
        <v>6994</v>
      </c>
      <c r="F13" s="132">
        <f>'субв от числ уточ'!D14</f>
        <v>1223.7474325252476</v>
      </c>
      <c r="G13" s="5">
        <f>ИБР!S15</f>
        <v>1.9187050718849843</v>
      </c>
      <c r="H13" s="5">
        <f>БО!D14</f>
        <v>0.22712839101817922</v>
      </c>
      <c r="I13" s="8">
        <f>(E15/C15)*(H16-H13)*G13*C13</f>
        <v>14079.28720368527</v>
      </c>
      <c r="J13" s="62">
        <f t="shared" si="4"/>
        <v>366.061467295817</v>
      </c>
      <c r="K13" s="90">
        <f>БО!G14</f>
        <v>0.23115603298755782</v>
      </c>
      <c r="L13" s="88">
        <f t="shared" si="0"/>
        <v>8583.808899821064</v>
      </c>
      <c r="M13" s="57"/>
      <c r="N13" s="62">
        <f>(4500-J15)*M13/M15</f>
        <v>0</v>
      </c>
      <c r="O13" s="132">
        <f t="shared" si="1"/>
        <v>366.061467295817</v>
      </c>
      <c r="P13" s="15">
        <v>99.43569524461826</v>
      </c>
      <c r="Q13" s="49">
        <f t="shared" si="2"/>
        <v>266.62577205119874</v>
      </c>
      <c r="R13" s="132">
        <f t="shared" si="3"/>
        <v>1589.8088998210646</v>
      </c>
    </row>
    <row r="14" spans="1:18" ht="36" customHeight="1">
      <c r="A14" s="4">
        <v>10</v>
      </c>
      <c r="B14" s="2" t="s">
        <v>12</v>
      </c>
      <c r="C14" s="6">
        <f>'Коэф.масшт.'!C14</f>
        <v>5188</v>
      </c>
      <c r="D14" s="6">
        <f>'Налоговый потен'!M16</f>
        <v>261464.77529486385</v>
      </c>
      <c r="E14" s="8">
        <v>65538.8</v>
      </c>
      <c r="F14" s="132">
        <f>'субв от числ уточ'!D15</f>
        <v>2535.4639296888913</v>
      </c>
      <c r="G14" s="5">
        <f>ИБР!S16</f>
        <v>1.4444040072539501</v>
      </c>
      <c r="H14" s="5">
        <f>БО!D15</f>
        <v>2.575606918955485</v>
      </c>
      <c r="I14" s="8"/>
      <c r="J14" s="62"/>
      <c r="K14" s="90">
        <f>БО!G15</f>
        <v>2.5585325831431853</v>
      </c>
      <c r="L14" s="88">
        <f t="shared" si="0"/>
        <v>68074.2639296889</v>
      </c>
      <c r="M14" s="57"/>
      <c r="N14" s="62"/>
      <c r="O14" s="132">
        <f t="shared" si="1"/>
        <v>0</v>
      </c>
      <c r="P14" s="15">
        <v>0</v>
      </c>
      <c r="Q14" s="49">
        <f t="shared" si="2"/>
        <v>0</v>
      </c>
      <c r="R14" s="132">
        <f t="shared" si="3"/>
        <v>2535.4639296888913</v>
      </c>
    </row>
    <row r="15" spans="1:18" ht="12.75">
      <c r="A15" s="3"/>
      <c r="B15" s="11" t="s">
        <v>15</v>
      </c>
      <c r="C15" s="15">
        <f>SUM(C5:C14)</f>
        <v>39311</v>
      </c>
      <c r="D15" s="15">
        <f>SUM(D5:D14)</f>
        <v>518500.6000000001</v>
      </c>
      <c r="E15" s="15">
        <f>SUM(E5:E14)</f>
        <v>177193</v>
      </c>
      <c r="F15" s="132">
        <f>SUM(F5:F14)</f>
        <v>19211.955</v>
      </c>
      <c r="G15" s="8"/>
      <c r="H15" s="15"/>
      <c r="I15" s="15">
        <f>SUM(I6:I14)</f>
        <v>138016.08232915215</v>
      </c>
      <c r="J15" s="20">
        <f>SUM(J6:J14)</f>
        <v>3588.4181405579557</v>
      </c>
      <c r="K15" s="57"/>
      <c r="L15" s="73">
        <f>SUM(L5:L14)</f>
        <v>199993.37314055796</v>
      </c>
      <c r="M15" s="15">
        <f>SUM(M6:M14)</f>
        <v>53970.976781605925</v>
      </c>
      <c r="N15" s="20">
        <f>SUM(N6:N14)</f>
        <v>911.5818594420442</v>
      </c>
      <c r="O15" s="132">
        <f>SUM(O5:O14)</f>
        <v>4500</v>
      </c>
      <c r="P15" s="15">
        <f>SUM(P5:P14)</f>
        <v>3000.0000000000005</v>
      </c>
      <c r="Q15" s="15">
        <f>SUM(Q5:Q14)</f>
        <v>1499.9999999999993</v>
      </c>
      <c r="R15" s="132">
        <f>SUM(R5:R14)</f>
        <v>23711.955</v>
      </c>
    </row>
    <row r="16" spans="1:18" ht="38.25">
      <c r="A16" s="3"/>
      <c r="B16" s="2"/>
      <c r="C16" s="9"/>
      <c r="D16" s="9"/>
      <c r="E16" s="15"/>
      <c r="F16" s="127"/>
      <c r="G16" s="5" t="s">
        <v>96</v>
      </c>
      <c r="H16" s="5">
        <f>БО!D17</f>
        <v>0.8772665402617347</v>
      </c>
      <c r="I16" s="8"/>
      <c r="J16" s="56" t="s">
        <v>154</v>
      </c>
      <c r="K16" s="91">
        <v>0.563</v>
      </c>
      <c r="L16" s="91"/>
      <c r="M16" s="51"/>
      <c r="N16" s="91">
        <f>N17-J15</f>
        <v>911.5818594420443</v>
      </c>
      <c r="O16" s="127"/>
      <c r="P16" s="15"/>
      <c r="Q16" s="49"/>
      <c r="R16" s="127"/>
    </row>
    <row r="17" spans="2:17" ht="12.75">
      <c r="B17" s="1"/>
      <c r="C17" s="19"/>
      <c r="D17" s="19"/>
      <c r="H17" s="42"/>
      <c r="I17" s="19"/>
      <c r="J17" s="95"/>
      <c r="K17" s="45"/>
      <c r="L17" s="45"/>
      <c r="M17" s="45"/>
      <c r="N17" s="45">
        <v>4500</v>
      </c>
      <c r="O17" s="129"/>
      <c r="P17" s="27"/>
      <c r="Q17" s="120"/>
    </row>
    <row r="18" spans="2:5" ht="12.75">
      <c r="B18" s="146"/>
      <c r="C18" s="146"/>
      <c r="D18" s="146"/>
      <c r="E18" s="146"/>
    </row>
  </sheetData>
  <sheetProtection/>
  <mergeCells count="2">
    <mergeCell ref="A1:M1"/>
    <mergeCell ref="B18:E18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F19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375" style="0" customWidth="1"/>
    <col min="2" max="2" width="35.875" style="0" customWidth="1"/>
    <col min="3" max="3" width="16.125" style="0" customWidth="1"/>
    <col min="4" max="4" width="25.25390625" style="0" customWidth="1"/>
  </cols>
  <sheetData>
    <row r="2" spans="1:4" ht="52.5" customHeight="1">
      <c r="A2" s="145" t="s">
        <v>144</v>
      </c>
      <c r="B2" s="145"/>
      <c r="C2" s="145"/>
      <c r="D2" s="145"/>
    </row>
    <row r="4" spans="1:6" ht="38.25">
      <c r="A4" s="2" t="s">
        <v>0</v>
      </c>
      <c r="B4" s="2" t="s">
        <v>1</v>
      </c>
      <c r="C4" s="2" t="s">
        <v>13</v>
      </c>
      <c r="D4" s="2" t="s">
        <v>62</v>
      </c>
      <c r="E4" s="1"/>
      <c r="F4" s="1"/>
    </row>
    <row r="5" spans="1:4" ht="12.75">
      <c r="A5" s="3">
        <v>1</v>
      </c>
      <c r="B5" s="2" t="s">
        <v>3</v>
      </c>
      <c r="C5" s="22">
        <v>13023</v>
      </c>
      <c r="D5" s="8">
        <f>(0.6*C5+0.4*C16)/C5</f>
        <v>0.7207433003148276</v>
      </c>
    </row>
    <row r="6" spans="1:4" ht="12.75">
      <c r="A6" s="3">
        <v>2</v>
      </c>
      <c r="B6" s="2" t="s">
        <v>4</v>
      </c>
      <c r="C6" s="22">
        <v>6546</v>
      </c>
      <c r="D6" s="8">
        <f>(0.6*C6+0.4*C16)/C6</f>
        <v>0.8402138710663001</v>
      </c>
    </row>
    <row r="7" spans="1:4" ht="12.75">
      <c r="A7" s="3">
        <v>3</v>
      </c>
      <c r="B7" s="2" t="s">
        <v>5</v>
      </c>
      <c r="C7" s="22">
        <v>1697</v>
      </c>
      <c r="D7" s="8">
        <f>(0.6*C7+0.4*C16)/C7</f>
        <v>1.5265998821449616</v>
      </c>
    </row>
    <row r="8" spans="1:4" ht="12.75">
      <c r="A8" s="3">
        <v>4</v>
      </c>
      <c r="B8" s="2" t="s">
        <v>6</v>
      </c>
      <c r="C8" s="22">
        <v>1315</v>
      </c>
      <c r="D8" s="8">
        <f>(0.6*C8+0.4*C16)/C8</f>
        <v>1.7957718631178707</v>
      </c>
    </row>
    <row r="9" spans="1:4" ht="12.75">
      <c r="A9" s="3">
        <v>5</v>
      </c>
      <c r="B9" s="2" t="s">
        <v>7</v>
      </c>
      <c r="C9" s="22">
        <v>1768</v>
      </c>
      <c r="D9" s="8">
        <f>(0.6*C9+0.4*C16)/C9</f>
        <v>1.4893891402714932</v>
      </c>
    </row>
    <row r="10" spans="1:4" ht="12.75">
      <c r="A10" s="3">
        <v>6</v>
      </c>
      <c r="B10" s="2" t="s">
        <v>8</v>
      </c>
      <c r="C10" s="22">
        <v>1992</v>
      </c>
      <c r="D10" s="8">
        <f>(0.6*C10+0.4*C16)/C10</f>
        <v>1.3893775100401609</v>
      </c>
    </row>
    <row r="11" spans="1:4" ht="12.75">
      <c r="A11" s="3">
        <v>7</v>
      </c>
      <c r="B11" s="2" t="s">
        <v>9</v>
      </c>
      <c r="C11" s="22">
        <v>2888</v>
      </c>
      <c r="D11" s="8">
        <f>(0.6*C11+0.4*C16)/C11</f>
        <v>1.1444736842105263</v>
      </c>
    </row>
    <row r="12" spans="1:4" ht="25.5">
      <c r="A12" s="3">
        <v>8</v>
      </c>
      <c r="B12" s="2" t="s">
        <v>10</v>
      </c>
      <c r="C12" s="22">
        <v>2390</v>
      </c>
      <c r="D12" s="8">
        <f>(0.6*C12+0.4*C16)/C12</f>
        <v>1.2579246861924687</v>
      </c>
    </row>
    <row r="13" spans="1:4" ht="12.75">
      <c r="A13" s="3">
        <v>9</v>
      </c>
      <c r="B13" s="2" t="s">
        <v>11</v>
      </c>
      <c r="C13" s="22">
        <v>2504</v>
      </c>
      <c r="D13" s="8">
        <f>(0.6*C13+0.4*C16)/C13</f>
        <v>1.2279712460063898</v>
      </c>
    </row>
    <row r="14" spans="1:4" ht="12.75">
      <c r="A14" s="4">
        <v>10</v>
      </c>
      <c r="B14" s="2" t="s">
        <v>12</v>
      </c>
      <c r="C14" s="22">
        <v>5188</v>
      </c>
      <c r="D14" s="8">
        <f>(0.6*C14+0.4*C16)/C14</f>
        <v>0.9030917501927525</v>
      </c>
    </row>
    <row r="15" spans="1:4" ht="12.75">
      <c r="A15" s="3"/>
      <c r="B15" s="11" t="s">
        <v>64</v>
      </c>
      <c r="C15" s="23">
        <f>SUM(C5:C14)</f>
        <v>39311</v>
      </c>
      <c r="D15" s="20">
        <f>(0.6*C15+0.4*C16)/C15</f>
        <v>0.6399999999999999</v>
      </c>
    </row>
    <row r="16" spans="1:4" ht="12.75">
      <c r="A16" s="3"/>
      <c r="B16" s="11" t="s">
        <v>2</v>
      </c>
      <c r="C16" s="9">
        <f>C15/10</f>
        <v>3931.1</v>
      </c>
      <c r="D16" s="3"/>
    </row>
    <row r="17" ht="12.75">
      <c r="B17" s="1"/>
    </row>
    <row r="18" ht="20.25" customHeight="1">
      <c r="B18" s="1"/>
    </row>
    <row r="19" spans="2:4" ht="12.75">
      <c r="B19" s="146"/>
      <c r="C19" s="146"/>
      <c r="D19" s="146"/>
    </row>
  </sheetData>
  <sheetProtection/>
  <mergeCells count="2">
    <mergeCell ref="A2:D2"/>
    <mergeCell ref="B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7.00390625" style="0" customWidth="1"/>
    <col min="2" max="2" width="37.00390625" style="0" customWidth="1"/>
    <col min="3" max="3" width="15.75390625" style="0" customWidth="1"/>
    <col min="4" max="4" width="16.625" style="0" customWidth="1"/>
  </cols>
  <sheetData>
    <row r="2" spans="1:4" ht="28.5" customHeight="1">
      <c r="A2" s="147" t="s">
        <v>111</v>
      </c>
      <c r="B2" s="147"/>
      <c r="C2" s="147"/>
      <c r="D2" s="147"/>
    </row>
    <row r="3" spans="1:4" ht="38.25">
      <c r="A3" s="9" t="s">
        <v>17</v>
      </c>
      <c r="B3" s="9" t="s">
        <v>16</v>
      </c>
      <c r="C3" s="11" t="s">
        <v>112</v>
      </c>
      <c r="D3" s="11" t="s">
        <v>72</v>
      </c>
    </row>
    <row r="4" spans="1:4" s="78" customFormat="1" ht="12.75">
      <c r="A4" s="76">
        <v>1</v>
      </c>
      <c r="B4" s="76" t="s">
        <v>3</v>
      </c>
      <c r="C4" s="77"/>
      <c r="D4" s="77"/>
    </row>
    <row r="5" spans="1:4" s="78" customFormat="1" ht="12.75">
      <c r="A5" s="76">
        <v>2</v>
      </c>
      <c r="B5" s="76" t="s">
        <v>4</v>
      </c>
      <c r="C5" s="77"/>
      <c r="D5" s="77"/>
    </row>
    <row r="6" spans="1:4" s="78" customFormat="1" ht="12.75">
      <c r="A6" s="76">
        <v>3</v>
      </c>
      <c r="B6" s="76" t="s">
        <v>5</v>
      </c>
      <c r="C6" s="77"/>
      <c r="D6" s="77"/>
    </row>
    <row r="7" spans="1:4" s="78" customFormat="1" ht="12.75">
      <c r="A7" s="76">
        <v>4</v>
      </c>
      <c r="B7" s="76" t="s">
        <v>6</v>
      </c>
      <c r="C7" s="77"/>
      <c r="D7" s="77"/>
    </row>
    <row r="8" spans="1:4" s="78" customFormat="1" ht="12.75">
      <c r="A8" s="76">
        <v>5</v>
      </c>
      <c r="B8" s="76" t="s">
        <v>7</v>
      </c>
      <c r="C8" s="77"/>
      <c r="D8" s="77"/>
    </row>
    <row r="9" spans="1:4" s="78" customFormat="1" ht="12.75">
      <c r="A9" s="76">
        <v>6</v>
      </c>
      <c r="B9" s="76" t="s">
        <v>8</v>
      </c>
      <c r="C9" s="77"/>
      <c r="D9" s="77"/>
    </row>
    <row r="10" spans="1:4" s="78" customFormat="1" ht="12.75">
      <c r="A10" s="76">
        <v>7</v>
      </c>
      <c r="B10" s="76" t="s">
        <v>9</v>
      </c>
      <c r="C10" s="77"/>
      <c r="D10" s="77"/>
    </row>
    <row r="11" spans="1:4" s="78" customFormat="1" ht="25.5">
      <c r="A11" s="76">
        <v>8</v>
      </c>
      <c r="B11" s="79" t="s">
        <v>52</v>
      </c>
      <c r="C11" s="77"/>
      <c r="D11" s="77"/>
    </row>
    <row r="12" spans="1:4" s="78" customFormat="1" ht="12.75">
      <c r="A12" s="76">
        <v>9</v>
      </c>
      <c r="B12" s="79" t="s">
        <v>11</v>
      </c>
      <c r="C12" s="77"/>
      <c r="D12" s="77"/>
    </row>
    <row r="13" spans="1:4" s="78" customFormat="1" ht="12.75">
      <c r="A13" s="76">
        <v>10</v>
      </c>
      <c r="B13" s="79" t="s">
        <v>12</v>
      </c>
      <c r="C13" s="77"/>
      <c r="D13" s="77"/>
    </row>
    <row r="14" spans="1:4" ht="17.25" customHeight="1">
      <c r="A14" s="3"/>
      <c r="B14" s="14" t="s">
        <v>59</v>
      </c>
      <c r="C14" s="73">
        <f>C4+C5+C6+C7+C8+C9+C10+C11+C12+C13</f>
        <v>0</v>
      </c>
      <c r="D14" s="73"/>
    </row>
    <row r="15" spans="1:4" ht="12.75">
      <c r="A15" s="3"/>
      <c r="B15" s="2" t="s">
        <v>73</v>
      </c>
      <c r="C15" s="75">
        <f>C14/10</f>
        <v>0</v>
      </c>
      <c r="D15" s="74"/>
    </row>
    <row r="16" spans="2:4" ht="18" customHeight="1">
      <c r="B16" s="146"/>
      <c r="C16" s="146"/>
      <c r="D16" s="146"/>
    </row>
  </sheetData>
  <sheetProtection/>
  <mergeCells count="2">
    <mergeCell ref="A2:D2"/>
    <mergeCell ref="B16:D1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58"/>
  <sheetViews>
    <sheetView view="pageBreakPreview" zoomScaleSheetLayoutView="100" zoomScalePageLayoutView="0" workbookViewId="0" topLeftCell="A37">
      <selection activeCell="H13" sqref="H13"/>
    </sheetView>
  </sheetViews>
  <sheetFormatPr defaultColWidth="9.00390625" defaultRowHeight="12.75"/>
  <cols>
    <col min="1" max="1" width="6.25390625" style="0" customWidth="1"/>
    <col min="2" max="2" width="35.25390625" style="0" customWidth="1"/>
    <col min="3" max="3" width="18.00390625" style="0" customWidth="1"/>
    <col min="4" max="4" width="16.00390625" style="0" customWidth="1"/>
  </cols>
  <sheetData>
    <row r="1" spans="1:4" ht="79.5" customHeight="1">
      <c r="A1" s="148" t="s">
        <v>145</v>
      </c>
      <c r="B1" s="148"/>
      <c r="C1" s="148"/>
      <c r="D1" s="148"/>
    </row>
    <row r="2" spans="1:4" ht="38.25">
      <c r="A2" s="9" t="s">
        <v>17</v>
      </c>
      <c r="B2" s="9" t="s">
        <v>16</v>
      </c>
      <c r="C2" s="11" t="s">
        <v>146</v>
      </c>
      <c r="D2" s="11" t="s">
        <v>61</v>
      </c>
    </row>
    <row r="3" spans="1:4" ht="12.75">
      <c r="A3" s="9">
        <v>1</v>
      </c>
      <c r="B3" s="9" t="s">
        <v>3</v>
      </c>
      <c r="C3" s="9">
        <f>C4+C5+C6</f>
        <v>13023</v>
      </c>
      <c r="D3" s="15">
        <f>(D4/C3)+1</f>
        <v>1.0123627428395916</v>
      </c>
    </row>
    <row r="4" spans="1:4" ht="12.75">
      <c r="A4" s="3"/>
      <c r="B4" s="12" t="s">
        <v>24</v>
      </c>
      <c r="C4" s="3">
        <v>11878</v>
      </c>
      <c r="D4" s="3">
        <f>C6</f>
        <v>161</v>
      </c>
    </row>
    <row r="5" spans="1:4" ht="12.75">
      <c r="A5" s="3"/>
      <c r="B5" s="3" t="s">
        <v>18</v>
      </c>
      <c r="C5" s="3">
        <v>984</v>
      </c>
      <c r="D5" s="3"/>
    </row>
    <row r="6" spans="1:4" ht="12.75">
      <c r="A6" s="3"/>
      <c r="B6" s="3" t="s">
        <v>63</v>
      </c>
      <c r="C6" s="3">
        <v>161</v>
      </c>
      <c r="D6" s="3"/>
    </row>
    <row r="7" spans="1:4" ht="12.75">
      <c r="A7" s="9">
        <v>2</v>
      </c>
      <c r="B7" s="9" t="s">
        <v>4</v>
      </c>
      <c r="C7" s="9">
        <f>C8+C9+C10</f>
        <v>6546</v>
      </c>
      <c r="D7" s="9">
        <v>1</v>
      </c>
    </row>
    <row r="8" spans="1:4" ht="12.75">
      <c r="A8" s="3"/>
      <c r="B8" s="12" t="s">
        <v>26</v>
      </c>
      <c r="C8" s="3">
        <v>4915</v>
      </c>
      <c r="D8" s="3"/>
    </row>
    <row r="9" spans="1:4" ht="12.75">
      <c r="A9" s="3"/>
      <c r="B9" s="3" t="s">
        <v>19</v>
      </c>
      <c r="C9" s="3">
        <v>1079</v>
      </c>
      <c r="D9" s="3"/>
    </row>
    <row r="10" spans="1:4" ht="12.75">
      <c r="A10" s="3"/>
      <c r="B10" s="3" t="s">
        <v>20</v>
      </c>
      <c r="C10" s="3">
        <v>552</v>
      </c>
      <c r="D10" s="3"/>
    </row>
    <row r="11" spans="1:4" ht="12.75">
      <c r="A11" s="9">
        <v>3</v>
      </c>
      <c r="B11" s="9" t="s">
        <v>5</v>
      </c>
      <c r="C11" s="9">
        <f>C12+C13+C14+C15+C16+C17+C18+C19+C20</f>
        <v>1697</v>
      </c>
      <c r="D11" s="15">
        <f>(D12/C11)+1</f>
        <v>2</v>
      </c>
    </row>
    <row r="12" spans="1:4" ht="12.75">
      <c r="A12" s="3"/>
      <c r="B12" s="3" t="s">
        <v>21</v>
      </c>
      <c r="C12" s="3">
        <v>304</v>
      </c>
      <c r="D12" s="3">
        <f>C12+C13+C14+C15+C16+C18+C19+C20+C17</f>
        <v>1697</v>
      </c>
    </row>
    <row r="13" spans="1:4" ht="12.75">
      <c r="A13" s="3"/>
      <c r="B13" s="3" t="s">
        <v>22</v>
      </c>
      <c r="C13" s="3">
        <v>66</v>
      </c>
      <c r="D13" s="3"/>
    </row>
    <row r="14" spans="1:4" ht="12.75">
      <c r="A14" s="3"/>
      <c r="B14" s="3" t="s">
        <v>23</v>
      </c>
      <c r="C14" s="3">
        <v>44</v>
      </c>
      <c r="D14" s="3"/>
    </row>
    <row r="15" spans="1:4" ht="12.75">
      <c r="A15" s="3"/>
      <c r="B15" s="12" t="s">
        <v>25</v>
      </c>
      <c r="C15" s="3">
        <v>398</v>
      </c>
      <c r="D15" s="3"/>
    </row>
    <row r="16" spans="1:4" ht="12.75">
      <c r="A16" s="3"/>
      <c r="B16" s="3" t="s">
        <v>27</v>
      </c>
      <c r="C16" s="3">
        <v>342</v>
      </c>
      <c r="D16" s="3"/>
    </row>
    <row r="17" spans="1:4" ht="12.75">
      <c r="A17" s="3"/>
      <c r="B17" s="3" t="s">
        <v>28</v>
      </c>
      <c r="C17" s="3">
        <v>431</v>
      </c>
      <c r="D17" s="3"/>
    </row>
    <row r="18" spans="1:4" ht="12.75">
      <c r="A18" s="3"/>
      <c r="B18" s="3" t="s">
        <v>29</v>
      </c>
      <c r="C18" s="3">
        <v>98</v>
      </c>
      <c r="D18" s="3"/>
    </row>
    <row r="19" spans="1:4" ht="12.75">
      <c r="A19" s="3"/>
      <c r="B19" s="3" t="s">
        <v>30</v>
      </c>
      <c r="C19" s="3">
        <v>14</v>
      </c>
      <c r="D19" s="3"/>
    </row>
    <row r="20" spans="1:4" ht="12.75">
      <c r="A20" s="3"/>
      <c r="B20" s="3" t="s">
        <v>31</v>
      </c>
      <c r="C20" s="3">
        <v>0</v>
      </c>
      <c r="D20" s="3"/>
    </row>
    <row r="21" spans="1:4" ht="12.75">
      <c r="A21" s="9">
        <v>4</v>
      </c>
      <c r="B21" s="9" t="s">
        <v>6</v>
      </c>
      <c r="C21" s="9">
        <f>C22+C23+C24+C25+C26+C27</f>
        <v>1315</v>
      </c>
      <c r="D21" s="15">
        <f>(D22/C21)+1</f>
        <v>1.5923954372623574</v>
      </c>
    </row>
    <row r="22" spans="1:4" ht="12.75">
      <c r="A22" s="3"/>
      <c r="B22" s="12" t="s">
        <v>32</v>
      </c>
      <c r="C22" s="3">
        <v>536</v>
      </c>
      <c r="D22" s="3">
        <f>C23+C24+C25+C26+C27</f>
        <v>779</v>
      </c>
    </row>
    <row r="23" spans="1:4" ht="12.75">
      <c r="A23" s="3"/>
      <c r="B23" s="3" t="s">
        <v>33</v>
      </c>
      <c r="C23" s="3">
        <v>373</v>
      </c>
      <c r="D23" s="3"/>
    </row>
    <row r="24" spans="1:4" ht="12.75">
      <c r="A24" s="3"/>
      <c r="B24" s="3" t="s">
        <v>34</v>
      </c>
      <c r="C24" s="3">
        <v>64</v>
      </c>
      <c r="D24" s="3"/>
    </row>
    <row r="25" spans="1:4" ht="12.75">
      <c r="A25" s="3"/>
      <c r="B25" s="3" t="s">
        <v>35</v>
      </c>
      <c r="C25" s="3">
        <v>220</v>
      </c>
      <c r="D25" s="3"/>
    </row>
    <row r="26" spans="1:4" ht="12.75">
      <c r="A26" s="3"/>
      <c r="B26" s="3" t="s">
        <v>36</v>
      </c>
      <c r="C26" s="3">
        <v>122</v>
      </c>
      <c r="D26" s="3"/>
    </row>
    <row r="27" spans="1:4" ht="12.75">
      <c r="A27" s="3"/>
      <c r="B27" s="3" t="s">
        <v>37</v>
      </c>
      <c r="C27" s="3">
        <v>0</v>
      </c>
      <c r="D27" s="3"/>
    </row>
    <row r="28" spans="1:4" ht="12.75">
      <c r="A28" s="9">
        <v>5</v>
      </c>
      <c r="B28" s="9" t="s">
        <v>7</v>
      </c>
      <c r="C28" s="9">
        <f>C29+C30+C31+C32</f>
        <v>1768</v>
      </c>
      <c r="D28" s="15">
        <f>(D29/C28)+1</f>
        <v>1.334841628959276</v>
      </c>
    </row>
    <row r="29" spans="1:4" ht="12.75">
      <c r="A29" s="3"/>
      <c r="B29" s="12" t="s">
        <v>38</v>
      </c>
      <c r="C29" s="3">
        <v>1176</v>
      </c>
      <c r="D29" s="3">
        <f>C30+C31+C32</f>
        <v>592</v>
      </c>
    </row>
    <row r="30" spans="1:4" ht="12.75">
      <c r="A30" s="3"/>
      <c r="B30" s="3" t="s">
        <v>39</v>
      </c>
      <c r="C30" s="3">
        <v>40</v>
      </c>
      <c r="D30" s="3"/>
    </row>
    <row r="31" spans="1:4" ht="12.75">
      <c r="A31" s="3"/>
      <c r="B31" s="3" t="s">
        <v>40</v>
      </c>
      <c r="C31" s="3">
        <v>247</v>
      </c>
      <c r="D31" s="3"/>
    </row>
    <row r="32" spans="1:4" ht="12.75">
      <c r="A32" s="3"/>
      <c r="B32" s="3" t="s">
        <v>60</v>
      </c>
      <c r="C32" s="3">
        <v>305</v>
      </c>
      <c r="D32" s="3"/>
    </row>
    <row r="33" spans="1:4" ht="12.75">
      <c r="A33" s="9">
        <v>6</v>
      </c>
      <c r="B33" s="9" t="s">
        <v>8</v>
      </c>
      <c r="C33" s="9">
        <f>C34+C35+C36+C37</f>
        <v>1992</v>
      </c>
      <c r="D33" s="15">
        <f>D34/C33+1</f>
        <v>1.0085341365461848</v>
      </c>
    </row>
    <row r="34" spans="1:4" ht="12.75">
      <c r="A34" s="3"/>
      <c r="B34" s="3" t="s">
        <v>41</v>
      </c>
      <c r="C34" s="3">
        <v>618</v>
      </c>
      <c r="D34" s="3">
        <f>C37</f>
        <v>17</v>
      </c>
    </row>
    <row r="35" spans="1:4" ht="12.75">
      <c r="A35" s="3"/>
      <c r="B35" s="12" t="s">
        <v>42</v>
      </c>
      <c r="C35" s="3">
        <v>648</v>
      </c>
      <c r="D35" s="3"/>
    </row>
    <row r="36" spans="1:4" ht="12.75">
      <c r="A36" s="3"/>
      <c r="B36" s="3" t="s">
        <v>43</v>
      </c>
      <c r="C36" s="3">
        <v>709</v>
      </c>
      <c r="D36" s="3"/>
    </row>
    <row r="37" spans="1:4" ht="12.75">
      <c r="A37" s="3"/>
      <c r="B37" s="3" t="s">
        <v>44</v>
      </c>
      <c r="C37" s="3">
        <v>17</v>
      </c>
      <c r="D37" s="3"/>
    </row>
    <row r="38" spans="1:4" ht="12.75">
      <c r="A38" s="9">
        <v>7</v>
      </c>
      <c r="B38" s="9" t="s">
        <v>9</v>
      </c>
      <c r="C38" s="9">
        <f>C39+C40+C41+C42+C43+C44+C45</f>
        <v>2888</v>
      </c>
      <c r="D38" s="15">
        <f>D39/C38+1</f>
        <v>1.404432132963989</v>
      </c>
    </row>
    <row r="39" spans="1:4" ht="12.75">
      <c r="A39" s="3"/>
      <c r="B39" s="3" t="s">
        <v>45</v>
      </c>
      <c r="C39" s="3">
        <v>509</v>
      </c>
      <c r="D39" s="3">
        <f>C40+C41+C45+C42</f>
        <v>1168</v>
      </c>
    </row>
    <row r="40" spans="1:4" ht="12.75">
      <c r="A40" s="3"/>
      <c r="B40" s="3" t="s">
        <v>46</v>
      </c>
      <c r="C40" s="3">
        <v>99</v>
      </c>
      <c r="D40" s="3"/>
    </row>
    <row r="41" spans="1:4" ht="12.75">
      <c r="A41" s="3"/>
      <c r="B41" s="3" t="s">
        <v>47</v>
      </c>
      <c r="C41" s="3">
        <v>133</v>
      </c>
      <c r="D41" s="3"/>
    </row>
    <row r="42" spans="1:4" ht="12.75">
      <c r="A42" s="3"/>
      <c r="B42" s="3" t="s">
        <v>48</v>
      </c>
      <c r="C42" s="3">
        <v>493</v>
      </c>
      <c r="D42" s="3"/>
    </row>
    <row r="43" spans="1:4" ht="12.75">
      <c r="A43" s="3"/>
      <c r="B43" s="3" t="s">
        <v>49</v>
      </c>
      <c r="C43" s="3">
        <v>683</v>
      </c>
      <c r="D43" s="3"/>
    </row>
    <row r="44" spans="1:4" ht="12.75">
      <c r="A44" s="3"/>
      <c r="B44" s="13" t="s">
        <v>50</v>
      </c>
      <c r="C44" s="4">
        <v>528</v>
      </c>
      <c r="D44" s="3"/>
    </row>
    <row r="45" spans="1:4" ht="12.75">
      <c r="A45" s="3"/>
      <c r="B45" s="4" t="s">
        <v>51</v>
      </c>
      <c r="C45" s="4">
        <v>443</v>
      </c>
      <c r="D45" s="3"/>
    </row>
    <row r="46" spans="1:4" ht="25.5">
      <c r="A46" s="9">
        <v>8</v>
      </c>
      <c r="B46" s="11" t="s">
        <v>52</v>
      </c>
      <c r="C46" s="9">
        <f>C47+C48</f>
        <v>2390</v>
      </c>
      <c r="D46" s="15">
        <f>(D47/C46)+1</f>
        <v>1.0418410041841004</v>
      </c>
    </row>
    <row r="47" spans="1:4" ht="12.75">
      <c r="A47" s="3"/>
      <c r="B47" s="21" t="s">
        <v>53</v>
      </c>
      <c r="C47" s="3">
        <v>2290</v>
      </c>
      <c r="D47" s="3">
        <f>C48</f>
        <v>100</v>
      </c>
    </row>
    <row r="48" spans="1:4" ht="12.75">
      <c r="A48" s="3"/>
      <c r="B48" s="2" t="s">
        <v>65</v>
      </c>
      <c r="C48" s="3">
        <v>100</v>
      </c>
      <c r="D48" s="3"/>
    </row>
    <row r="49" spans="1:4" ht="12.75">
      <c r="A49" s="9">
        <v>9</v>
      </c>
      <c r="B49" s="11" t="s">
        <v>11</v>
      </c>
      <c r="C49" s="9">
        <f>C50+C51</f>
        <v>2504</v>
      </c>
      <c r="D49" s="9">
        <v>1</v>
      </c>
    </row>
    <row r="50" spans="1:4" ht="12.75">
      <c r="A50" s="3"/>
      <c r="B50" s="21" t="s">
        <v>54</v>
      </c>
      <c r="C50" s="3">
        <v>1629</v>
      </c>
      <c r="D50" s="3"/>
    </row>
    <row r="51" spans="1:4" ht="12.75">
      <c r="A51" s="3"/>
      <c r="B51" s="2" t="s">
        <v>55</v>
      </c>
      <c r="C51" s="3">
        <v>875</v>
      </c>
      <c r="D51" s="3"/>
    </row>
    <row r="52" spans="1:4" ht="12.75">
      <c r="A52" s="9">
        <v>10</v>
      </c>
      <c r="B52" s="11" t="s">
        <v>12</v>
      </c>
      <c r="C52" s="9">
        <f>C53+C54+C55</f>
        <v>5188</v>
      </c>
      <c r="D52" s="15">
        <f>(D53/C52)+1</f>
        <v>1.0327679259830378</v>
      </c>
    </row>
    <row r="53" spans="1:4" ht="12.75">
      <c r="A53" s="3"/>
      <c r="B53" s="21" t="s">
        <v>56</v>
      </c>
      <c r="C53" s="3">
        <v>2898</v>
      </c>
      <c r="D53" s="3">
        <f>C55</f>
        <v>170</v>
      </c>
    </row>
    <row r="54" spans="1:4" ht="12.75">
      <c r="A54" s="3"/>
      <c r="B54" s="2" t="s">
        <v>57</v>
      </c>
      <c r="C54" s="3">
        <v>2120</v>
      </c>
      <c r="D54" s="3"/>
    </row>
    <row r="55" spans="1:4" ht="12.75">
      <c r="A55" s="3"/>
      <c r="B55" s="2" t="s">
        <v>58</v>
      </c>
      <c r="C55" s="3">
        <v>170</v>
      </c>
      <c r="D55" s="3"/>
    </row>
    <row r="56" spans="1:4" ht="30">
      <c r="A56" s="3"/>
      <c r="B56" s="14" t="s">
        <v>59</v>
      </c>
      <c r="C56" s="9">
        <f>C3+C7+C11+C21+C28+C33+C38+C46+C49+C52</f>
        <v>39311</v>
      </c>
      <c r="D56" s="15">
        <f>D57/C56+1</f>
        <v>1</v>
      </c>
    </row>
    <row r="57" ht="12.75">
      <c r="B57" s="1"/>
    </row>
    <row r="58" spans="2:4" ht="15" customHeight="1">
      <c r="B58" s="146"/>
      <c r="C58" s="146"/>
      <c r="D58" s="146"/>
    </row>
  </sheetData>
  <sheetProtection/>
  <mergeCells count="2">
    <mergeCell ref="A1:D1"/>
    <mergeCell ref="B58:D58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3:G14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2.25390625" style="0" customWidth="1"/>
    <col min="2" max="2" width="11.875" style="0" customWidth="1"/>
    <col min="6" max="6" width="11.625" style="0" customWidth="1"/>
    <col min="7" max="7" width="10.75390625" style="19" customWidth="1"/>
  </cols>
  <sheetData>
    <row r="3" spans="1:7" ht="12.75">
      <c r="A3" s="149" t="s">
        <v>127</v>
      </c>
      <c r="B3" s="149"/>
      <c r="C3" s="149"/>
      <c r="D3" s="149"/>
      <c r="E3" s="149"/>
      <c r="F3" s="149"/>
      <c r="G3" s="149"/>
    </row>
    <row r="4" spans="1:7" ht="36" customHeight="1">
      <c r="A4" s="145" t="s">
        <v>134</v>
      </c>
      <c r="B4" s="145"/>
      <c r="C4" s="145"/>
      <c r="D4" s="145"/>
      <c r="E4" s="145"/>
      <c r="F4" s="145"/>
      <c r="G4" s="145"/>
    </row>
    <row r="6" spans="1:7" ht="89.25">
      <c r="A6" s="3" t="s">
        <v>16</v>
      </c>
      <c r="B6" s="2" t="s">
        <v>124</v>
      </c>
      <c r="C6" s="2" t="s">
        <v>119</v>
      </c>
      <c r="D6" s="2" t="s">
        <v>125</v>
      </c>
      <c r="E6" s="2" t="s">
        <v>120</v>
      </c>
      <c r="F6" s="108" t="s">
        <v>77</v>
      </c>
      <c r="G6" s="86"/>
    </row>
    <row r="7" spans="1:7" ht="27.75" customHeight="1">
      <c r="A7" s="2" t="s">
        <v>74</v>
      </c>
      <c r="B7" s="3">
        <f>22161.4+6783+186+97.6+7.2+1452.1+216.4+3.2+137.6</f>
        <v>31044.5</v>
      </c>
      <c r="C7" s="3">
        <v>2372.1</v>
      </c>
      <c r="D7" s="3">
        <f>B7+C7</f>
        <v>33416.6</v>
      </c>
      <c r="E7" s="3">
        <f>D7-3.2</f>
        <v>33413.4</v>
      </c>
      <c r="F7" s="109">
        <f>E7*100/E11</f>
        <v>27.93155334124689</v>
      </c>
      <c r="G7"/>
    </row>
    <row r="8" spans="1:7" ht="12.75">
      <c r="A8" s="3" t="s">
        <v>123</v>
      </c>
      <c r="B8" s="3">
        <f>308.5+20+760+21735.2+69+700+200+500+900+10420+300+17788.5+9708.6</f>
        <v>63409.799999999996</v>
      </c>
      <c r="C8" s="3">
        <v>426.6</v>
      </c>
      <c r="D8" s="3">
        <f>B8+C8</f>
        <v>63836.399999999994</v>
      </c>
      <c r="E8" s="3">
        <f>D8-308.5-17788.5-20-760-69</f>
        <v>44890.399999999994</v>
      </c>
      <c r="F8" s="109">
        <f>E8*100/E11</f>
        <v>37.52562152040526</v>
      </c>
      <c r="G8"/>
    </row>
    <row r="9" spans="1:7" ht="12.75">
      <c r="A9" s="3" t="s">
        <v>75</v>
      </c>
      <c r="B9" s="3">
        <f>12057.3+9800.9+85+3361.7+8115</f>
        <v>33419.899999999994</v>
      </c>
      <c r="C9" s="3"/>
      <c r="D9" s="3">
        <f>B9+C9</f>
        <v>33419.899999999994</v>
      </c>
      <c r="E9" s="3">
        <f>D9-3361.7</f>
        <v>30058.199999999993</v>
      </c>
      <c r="F9" s="109">
        <f>E9*100/E11</f>
        <v>25.12681189707923</v>
      </c>
      <c r="G9"/>
    </row>
    <row r="10" spans="1:7" ht="12.75">
      <c r="A10" s="3" t="s">
        <v>76</v>
      </c>
      <c r="B10" s="3">
        <f>175+23.9+100.9+7510.1+600+2.4+200+910+1600+200+20+147.8+37.8+253.9+42.1+362.4</f>
        <v>12186.3</v>
      </c>
      <c r="C10" s="3"/>
      <c r="D10" s="3">
        <f>B10+C10</f>
        <v>12186.3</v>
      </c>
      <c r="E10" s="3">
        <f>D10-23.9-600-2.4-253.9-42.1</f>
        <v>11264</v>
      </c>
      <c r="F10" s="109">
        <f>E10*100/E11</f>
        <v>9.416013241268622</v>
      </c>
      <c r="G10"/>
    </row>
    <row r="11" spans="1:6" s="31" customFormat="1" ht="12.75">
      <c r="A11" s="9" t="s">
        <v>14</v>
      </c>
      <c r="B11" s="9">
        <f>SUM(B7:B10)</f>
        <v>140060.49999999997</v>
      </c>
      <c r="C11" s="9">
        <f>SUM(C7:C10)</f>
        <v>2798.7</v>
      </c>
      <c r="D11" s="9">
        <f>SUM(D7:D10)</f>
        <v>142859.19999999998</v>
      </c>
      <c r="E11" s="9">
        <f>E7+E8+E9+E10</f>
        <v>119625.99999999999</v>
      </c>
      <c r="F11" s="110">
        <v>100</v>
      </c>
    </row>
    <row r="12" spans="1:6" ht="12.75">
      <c r="A12" s="96"/>
      <c r="B12">
        <v>115635.6</v>
      </c>
      <c r="F12">
        <f>D11-F11</f>
        <v>142759.19999999998</v>
      </c>
    </row>
    <row r="13" spans="1:7" ht="17.25" customHeight="1">
      <c r="A13" s="87"/>
      <c r="B13" s="7">
        <f>B11-B12</f>
        <v>24424.899999999965</v>
      </c>
      <c r="C13" s="7"/>
      <c r="D13" s="7"/>
      <c r="E13" s="7"/>
      <c r="G13"/>
    </row>
    <row r="14" ht="12.75">
      <c r="B14" s="7"/>
    </row>
  </sheetData>
  <sheetProtection/>
  <mergeCells count="2">
    <mergeCell ref="A4:G4"/>
    <mergeCell ref="A3:G3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U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1" sqref="F11"/>
    </sheetView>
  </sheetViews>
  <sheetFormatPr defaultColWidth="9.00390625" defaultRowHeight="12.75"/>
  <cols>
    <col min="1" max="1" width="5.625" style="0" customWidth="1"/>
    <col min="2" max="2" width="30.00390625" style="0" customWidth="1"/>
    <col min="3" max="3" width="9.375" style="0" bestFit="1" customWidth="1"/>
    <col min="4" max="4" width="11.125" style="0" bestFit="1" customWidth="1"/>
    <col min="5" max="5" width="13.75390625" style="31" customWidth="1"/>
    <col min="6" max="6" width="9.375" style="0" bestFit="1" customWidth="1"/>
    <col min="7" max="7" width="11.25390625" style="0" bestFit="1" customWidth="1"/>
    <col min="8" max="8" width="11.125" style="0" bestFit="1" customWidth="1"/>
    <col min="9" max="9" width="12.25390625" style="31" customWidth="1"/>
    <col min="10" max="10" width="10.125" style="0" customWidth="1"/>
    <col min="11" max="11" width="0.2421875" style="19" hidden="1" customWidth="1"/>
    <col min="12" max="12" width="11.25390625" style="0" bestFit="1" customWidth="1"/>
    <col min="13" max="13" width="11.125" style="0" bestFit="1" customWidth="1"/>
    <col min="14" max="14" width="7.75390625" style="42" customWidth="1"/>
    <col min="15" max="15" width="8.75390625" style="0" bestFit="1" customWidth="1"/>
    <col min="18" max="18" width="9.125" style="42" customWidth="1"/>
    <col min="19" max="19" width="11.25390625" style="31" customWidth="1"/>
    <col min="21" max="21" width="9.125" style="19" customWidth="1"/>
  </cols>
  <sheetData>
    <row r="2" spans="1:15" ht="75.75" customHeight="1">
      <c r="A2" s="150" t="s">
        <v>147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4" spans="1:19" ht="38.25" customHeight="1">
      <c r="A4" s="151" t="s">
        <v>0</v>
      </c>
      <c r="B4" s="151" t="s">
        <v>1</v>
      </c>
      <c r="C4" s="153" t="s">
        <v>66</v>
      </c>
      <c r="D4" s="154"/>
      <c r="E4" s="155"/>
      <c r="F4" s="154" t="s">
        <v>67</v>
      </c>
      <c r="G4" s="154"/>
      <c r="H4" s="154"/>
      <c r="I4" s="155"/>
      <c r="J4" s="154" t="s">
        <v>68</v>
      </c>
      <c r="K4" s="154"/>
      <c r="L4" s="154"/>
      <c r="M4" s="154"/>
      <c r="N4" s="155"/>
      <c r="O4" s="156" t="s">
        <v>80</v>
      </c>
      <c r="P4" s="156"/>
      <c r="Q4" s="156"/>
      <c r="R4" s="156"/>
      <c r="S4" s="137" t="s">
        <v>81</v>
      </c>
    </row>
    <row r="5" spans="1:21" ht="62.25" customHeight="1">
      <c r="A5" s="152"/>
      <c r="B5" s="152"/>
      <c r="C5" s="18" t="s">
        <v>78</v>
      </c>
      <c r="D5" s="18" t="s">
        <v>69</v>
      </c>
      <c r="E5" s="66" t="s">
        <v>121</v>
      </c>
      <c r="F5" s="36" t="s">
        <v>78</v>
      </c>
      <c r="G5" s="52" t="s">
        <v>71</v>
      </c>
      <c r="H5" s="36" t="s">
        <v>69</v>
      </c>
      <c r="I5" s="64" t="s">
        <v>126</v>
      </c>
      <c r="J5" s="36" t="s">
        <v>78</v>
      </c>
      <c r="K5" s="53" t="s">
        <v>79</v>
      </c>
      <c r="L5" s="52" t="s">
        <v>71</v>
      </c>
      <c r="M5" s="36" t="s">
        <v>69</v>
      </c>
      <c r="N5" s="60" t="s">
        <v>128</v>
      </c>
      <c r="O5" s="36" t="s">
        <v>78</v>
      </c>
      <c r="P5" s="52" t="s">
        <v>71</v>
      </c>
      <c r="Q5" s="36" t="s">
        <v>69</v>
      </c>
      <c r="R5" s="60" t="s">
        <v>129</v>
      </c>
      <c r="S5" s="137"/>
      <c r="U5" s="44"/>
    </row>
    <row r="6" spans="1:19" ht="12.75">
      <c r="A6" s="24">
        <v>1</v>
      </c>
      <c r="B6" s="24">
        <v>2</v>
      </c>
      <c r="C6" s="16">
        <v>3</v>
      </c>
      <c r="D6" s="16">
        <v>4</v>
      </c>
      <c r="E6" s="35">
        <v>5</v>
      </c>
      <c r="F6" s="54">
        <v>6</v>
      </c>
      <c r="G6" s="54">
        <v>7</v>
      </c>
      <c r="H6" s="54">
        <v>8</v>
      </c>
      <c r="I6" s="35">
        <v>9</v>
      </c>
      <c r="J6" s="54">
        <v>10</v>
      </c>
      <c r="K6" s="55">
        <v>11</v>
      </c>
      <c r="L6" s="54">
        <v>12</v>
      </c>
      <c r="M6" s="54">
        <v>13</v>
      </c>
      <c r="N6" s="61">
        <v>14</v>
      </c>
      <c r="O6" s="54">
        <v>15</v>
      </c>
      <c r="P6" s="54">
        <v>16</v>
      </c>
      <c r="Q6" s="54">
        <v>17</v>
      </c>
      <c r="R6" s="61">
        <v>18</v>
      </c>
      <c r="S6" s="35">
        <v>19</v>
      </c>
    </row>
    <row r="7" spans="1:19" ht="25.5">
      <c r="A7" s="3">
        <v>1</v>
      </c>
      <c r="B7" s="2" t="s">
        <v>3</v>
      </c>
      <c r="C7" s="6">
        <f>'Коэф.масшт.'!C5</f>
        <v>13023</v>
      </c>
      <c r="D7" s="8">
        <f>'Коэф.масшт.'!D5</f>
        <v>0.7207433003148276</v>
      </c>
      <c r="E7" s="56">
        <f>((C7*D7/C7)/(C17*D17/C17))*'Расчет доли '!F7/100</f>
        <v>0.3145543740326553</v>
      </c>
      <c r="F7" s="6">
        <f>'Коэф.масшт.'!C5</f>
        <v>13023</v>
      </c>
      <c r="G7" s="40">
        <f>'Коэф.дисп'!D3</f>
        <v>1.0123627428395916</v>
      </c>
      <c r="H7" s="8">
        <f>'Коэф.масшт.'!D5</f>
        <v>0.7207433003148276</v>
      </c>
      <c r="I7" s="57">
        <f>((F7*G7*H7/F7)/(F17*G17*H17/F17))*'Расчет доли '!F9/100</f>
        <v>0.28646672461158695</v>
      </c>
      <c r="J7" s="6">
        <f>'Коэф.масшт.'!C5</f>
        <v>13023</v>
      </c>
      <c r="K7" s="51">
        <f>'Коэф. плот.авт.дорог'!D4</f>
        <v>0</v>
      </c>
      <c r="L7" s="40">
        <f>'Коэф.дисп'!D3</f>
        <v>1.0123627428395916</v>
      </c>
      <c r="M7" s="8">
        <f>'Коэф.масшт.'!D5</f>
        <v>0.7207433003148276</v>
      </c>
      <c r="N7" s="62">
        <f>(J7*L7*M7/J7)/(J17*L17*M17/J17)*'Расчет доли '!F8/100</f>
        <v>0.42782355079492396</v>
      </c>
      <c r="O7" s="6">
        <f>'Коэф.масшт.'!C5</f>
        <v>13023</v>
      </c>
      <c r="P7" s="40">
        <f>'Коэф.дисп'!D3</f>
        <v>1.0123627428395916</v>
      </c>
      <c r="Q7" s="8">
        <f>'Коэф.масшт.'!D5</f>
        <v>0.7207433003148276</v>
      </c>
      <c r="R7" s="62">
        <f>(P7*Q7)/(P17*Q17)*'Расчет доли '!F10/100</f>
        <v>0.10735044633494077</v>
      </c>
      <c r="S7" s="20">
        <f>E7+I7+N7+R7</f>
        <v>1.1361950957741072</v>
      </c>
    </row>
    <row r="8" spans="1:19" ht="25.5">
      <c r="A8" s="3">
        <v>2</v>
      </c>
      <c r="B8" s="2" t="s">
        <v>135</v>
      </c>
      <c r="C8" s="6">
        <f>'Коэф.масшт.'!C6</f>
        <v>6546</v>
      </c>
      <c r="D8" s="8">
        <f>'Коэф.масшт.'!D6</f>
        <v>0.8402138710663001</v>
      </c>
      <c r="E8" s="56">
        <f>((C8*D8/C8)/(C17*D17/C17))*'Расчет доли '!F7/100</f>
        <v>0.36669497746474844</v>
      </c>
      <c r="F8" s="6">
        <f>'Коэф.масшт.'!C6</f>
        <v>6546</v>
      </c>
      <c r="G8" s="40">
        <f>'Коэф.дисп'!D7</f>
        <v>1</v>
      </c>
      <c r="H8" s="8">
        <f>'Коэф.масшт.'!D6</f>
        <v>0.8402138710663001</v>
      </c>
      <c r="I8" s="57">
        <f>((F8*G8*H8/F8)/(F17*G17*H17/F17))*'Расчет доли '!F9/100</f>
        <v>0.32987337330624533</v>
      </c>
      <c r="J8" s="6">
        <f>'Коэф.масшт.'!C6</f>
        <v>6546</v>
      </c>
      <c r="K8" s="51">
        <f>'Коэф. плот.авт.дорог'!D5</f>
        <v>0</v>
      </c>
      <c r="L8" s="40">
        <f>'Коэф.дисп'!D7</f>
        <v>1</v>
      </c>
      <c r="M8" s="8">
        <f>'Коэф.масшт.'!D6</f>
        <v>0.8402138710663001</v>
      </c>
      <c r="N8" s="62">
        <f>(L8*M8)/(L17*M17)*'Расчет доли '!F8/100</f>
        <v>0.4926491831535713</v>
      </c>
      <c r="O8" s="6">
        <f>'Коэф.масшт.'!C6</f>
        <v>6546</v>
      </c>
      <c r="P8" s="40">
        <f>'Коэф.дисп'!D7</f>
        <v>1</v>
      </c>
      <c r="Q8" s="8">
        <f>'Коэф.масшт.'!D6</f>
        <v>0.8402138710663001</v>
      </c>
      <c r="R8" s="62">
        <f>(P8*Q8)/(P17*Q17)*'Расчет доли '!F10/100</f>
        <v>0.12361663961652888</v>
      </c>
      <c r="S8" s="20">
        <f aca="true" t="shared" si="0" ref="S8:S16">E8+I8+N8+R8</f>
        <v>1.312834173541094</v>
      </c>
    </row>
    <row r="9" spans="1:19" ht="25.5">
      <c r="A9" s="3">
        <v>3</v>
      </c>
      <c r="B9" s="2" t="s">
        <v>5</v>
      </c>
      <c r="C9" s="6">
        <f>'Коэф.масшт.'!C7</f>
        <v>1697</v>
      </c>
      <c r="D9" s="8">
        <f>'Коэф.масшт.'!D7</f>
        <v>1.5265998821449616</v>
      </c>
      <c r="E9" s="56">
        <f>((C9*D9/C9)/(C17*D17/C17))*'Расчет доли '!F7/100</f>
        <v>0.666254781857394</v>
      </c>
      <c r="F9" s="6">
        <f>'Коэф.масшт.'!C7</f>
        <v>1697</v>
      </c>
      <c r="G9" s="40">
        <f>'Коэф.дисп'!D11</f>
        <v>2</v>
      </c>
      <c r="H9" s="8">
        <f>'Коэф.масшт.'!D7</f>
        <v>1.5265998821449616</v>
      </c>
      <c r="I9" s="57">
        <f>((F9*G9*H9/F9)/(F17*G17*H17/F17))*'Расчет доли '!F9/100</f>
        <v>1.198705877523743</v>
      </c>
      <c r="J9" s="6">
        <f>'Коэф.масшт.'!C7</f>
        <v>1697</v>
      </c>
      <c r="K9" s="51">
        <f>'Коэф. плот.авт.дорог'!D6</f>
        <v>0</v>
      </c>
      <c r="L9" s="40">
        <f>'Коэф.дисп'!D11</f>
        <v>2</v>
      </c>
      <c r="M9" s="8">
        <f>'Коэф.масшт.'!D7</f>
        <v>1.5265998821449616</v>
      </c>
      <c r="N9" s="62">
        <f>(L9*M9)/(L17*M17)*'Расчет доли '!F8/100</f>
        <v>1.7902065434520973</v>
      </c>
      <c r="O9" s="6">
        <f>'Коэф.масшт.'!C7</f>
        <v>1697</v>
      </c>
      <c r="P9" s="40">
        <f>'Коэф.дисп'!D11</f>
        <v>2</v>
      </c>
      <c r="Q9" s="8">
        <f>'Коэф.масшт.'!D7</f>
        <v>1.5265998821449616</v>
      </c>
      <c r="R9" s="62">
        <f>(P9*Q9)/(P17*Q17)*'Расчет доли '!F10/100</f>
        <v>0.4492026470123774</v>
      </c>
      <c r="S9" s="20">
        <f t="shared" si="0"/>
        <v>4.104369849845612</v>
      </c>
    </row>
    <row r="10" spans="1:19" ht="25.5">
      <c r="A10" s="3">
        <v>4</v>
      </c>
      <c r="B10" s="2" t="s">
        <v>6</v>
      </c>
      <c r="C10" s="6">
        <f>'Коэф.масшт.'!C8</f>
        <v>1315</v>
      </c>
      <c r="D10" s="8">
        <f>'Коэф.масшт.'!D8</f>
        <v>1.7957718631178707</v>
      </c>
      <c r="E10" s="56">
        <f>((C10*D10/C10)/(C17*D17/C17))*'Расчет доли '!F7/100</f>
        <v>0.7837296497404238</v>
      </c>
      <c r="F10" s="6">
        <f>'Коэф.масшт.'!C8</f>
        <v>1315</v>
      </c>
      <c r="G10" s="40">
        <f>'Коэф.дисп'!D21</f>
        <v>1.5923954372623574</v>
      </c>
      <c r="H10" s="8">
        <f>'Коэф.масшт.'!D8</f>
        <v>1.7957718631178707</v>
      </c>
      <c r="I10" s="57">
        <f>((F10*G10*H10/F10)/(F17*G17*H17/F17))*'Расчет доли '!F9/100</f>
        <v>1.1226890884010903</v>
      </c>
      <c r="J10" s="6">
        <f>'Коэф.масшт.'!C8</f>
        <v>1315</v>
      </c>
      <c r="K10" s="51">
        <f>'Коэф. плот.авт.дорог'!D7</f>
        <v>0</v>
      </c>
      <c r="L10" s="40">
        <f>'Коэф.дисп'!D21</f>
        <v>1.5923954372623574</v>
      </c>
      <c r="M10" s="8">
        <f>'Коэф.масшт.'!D8</f>
        <v>1.7957718631178707</v>
      </c>
      <c r="N10" s="62">
        <f>(L10*M10)/(L17*M17)*'Расчет доли '!F8/100</f>
        <v>1.6766793172565324</v>
      </c>
      <c r="O10" s="6">
        <f>'Коэф.масшт.'!C8</f>
        <v>1315</v>
      </c>
      <c r="P10" s="40">
        <f>'Коэф.дисп'!D21</f>
        <v>1.5923954372623574</v>
      </c>
      <c r="Q10" s="8">
        <f>'Коэф.масшт.'!D8</f>
        <v>1.7957718631178707</v>
      </c>
      <c r="R10" s="62">
        <f>(P10*Q10)/(P17*Q17)*'Расчет доли '!F10/100</f>
        <v>0.4207161404125957</v>
      </c>
      <c r="S10" s="20">
        <f t="shared" si="0"/>
        <v>4.003814195810643</v>
      </c>
    </row>
    <row r="11" spans="1:19" ht="12.75">
      <c r="A11" s="3">
        <v>5</v>
      </c>
      <c r="B11" s="2" t="s">
        <v>7</v>
      </c>
      <c r="C11" s="6">
        <f>'Коэф.масшт.'!C9</f>
        <v>1768</v>
      </c>
      <c r="D11" s="8">
        <f>'Коэф.масшт.'!D9</f>
        <v>1.4893891402714932</v>
      </c>
      <c r="E11" s="56">
        <f>((C11*D11/C11)/(C17*D17/C17))*'Расчет доли '!F7/100</f>
        <v>0.6500148783963604</v>
      </c>
      <c r="F11" s="6">
        <f>'Коэф.масшт.'!C9</f>
        <v>1768</v>
      </c>
      <c r="G11" s="40">
        <f>'Коэф.дисп'!D28</f>
        <v>1.334841628959276</v>
      </c>
      <c r="H11" s="8">
        <f>'Коэф.масшт.'!D9</f>
        <v>1.4893891402714932</v>
      </c>
      <c r="I11" s="57">
        <f>((F11*G11*H11/F11)/(F17*G17*H17/F17))*'Расчет доли '!F9/100</f>
        <v>0.7805403158159316</v>
      </c>
      <c r="J11" s="6">
        <f>'Коэф.масшт.'!C9</f>
        <v>1768</v>
      </c>
      <c r="K11" s="51">
        <f>'Коэф. плот.авт.дорог'!D8</f>
        <v>0</v>
      </c>
      <c r="L11" s="40">
        <f>'Коэф.дисп'!D28</f>
        <v>1.334841628959276</v>
      </c>
      <c r="M11" s="8">
        <f>'Коэф.масшт.'!D9</f>
        <v>1.4893891402714932</v>
      </c>
      <c r="N11" s="62">
        <f>(L11*M11)/(L17*M17)*'Расчет доли '!F8/100</f>
        <v>1.165697446723473</v>
      </c>
      <c r="O11" s="6">
        <f>'Коэф.масшт.'!C9</f>
        <v>1768</v>
      </c>
      <c r="P11" s="40">
        <f>'Коэф.дисп'!D28</f>
        <v>1.334841628959276</v>
      </c>
      <c r="Q11" s="8">
        <f>'Коэф.масшт.'!D9</f>
        <v>1.4893891402714932</v>
      </c>
      <c r="R11" s="62">
        <f>(P11*Q11)/(P17*Q17)*'Расчет доли '!F10/100</f>
        <v>0.29249942170025667</v>
      </c>
      <c r="S11" s="20">
        <f t="shared" si="0"/>
        <v>2.888752062636022</v>
      </c>
    </row>
    <row r="12" spans="1:19" ht="12.75">
      <c r="A12" s="3">
        <v>6</v>
      </c>
      <c r="B12" s="2" t="s">
        <v>8</v>
      </c>
      <c r="C12" s="6">
        <f>'Коэф.масшт.'!C10</f>
        <v>1992</v>
      </c>
      <c r="D12" s="8">
        <f>'Коэф.масшт.'!D10</f>
        <v>1.3893775100401609</v>
      </c>
      <c r="E12" s="56">
        <f>((C12*D12/C12)/(C17*D17/C17))*'Расчет доли '!F7/100</f>
        <v>0.6063667505127428</v>
      </c>
      <c r="F12" s="6">
        <f>'Коэф.масшт.'!C10</f>
        <v>1992</v>
      </c>
      <c r="G12" s="40">
        <f>'Коэф.дисп'!D33</f>
        <v>1.0085341365461848</v>
      </c>
      <c r="H12" s="8">
        <f>'Коэф.масшт.'!D10</f>
        <v>1.3893775100401609</v>
      </c>
      <c r="I12" s="57">
        <f>((F12*G12*H12/F12)/(F17*G17*H17/F17))*'Расчет доли '!F9/100</f>
        <v>0.550133740773737</v>
      </c>
      <c r="J12" s="6">
        <f>'Коэф.масшт.'!C10</f>
        <v>1992</v>
      </c>
      <c r="K12" s="51">
        <f>'Коэф. плот.авт.дорог'!D9</f>
        <v>0</v>
      </c>
      <c r="L12" s="40">
        <f>'Коэф.дисп'!D33</f>
        <v>1.0085341365461848</v>
      </c>
      <c r="M12" s="8">
        <f>'Коэф.масшт.'!D10</f>
        <v>1.3893775100401609</v>
      </c>
      <c r="N12" s="62">
        <f>(L12*M12)/(L17*M17)*'Расчет доли '!F8/100</f>
        <v>0.8215968912586037</v>
      </c>
      <c r="O12" s="6">
        <f>'Коэф.масшт.'!C10</f>
        <v>1992</v>
      </c>
      <c r="P12" s="40">
        <f>'Коэф.дисп'!D33</f>
        <v>1.0085341365461848</v>
      </c>
      <c r="Q12" s="8">
        <f>'Коэф.масшт.'!D10</f>
        <v>1.3893775100401609</v>
      </c>
      <c r="R12" s="62">
        <f>(P12*Q12)/(P17*Q17)*'Расчет доли '!F10/100</f>
        <v>0.2061569374106026</v>
      </c>
      <c r="S12" s="20">
        <f t="shared" si="0"/>
        <v>2.184254319955686</v>
      </c>
    </row>
    <row r="13" spans="1:19" ht="25.5">
      <c r="A13" s="3">
        <v>7</v>
      </c>
      <c r="B13" s="2" t="s">
        <v>9</v>
      </c>
      <c r="C13" s="6">
        <f>'Коэф.масшт.'!C11</f>
        <v>2888</v>
      </c>
      <c r="D13" s="8">
        <f>'Коэф.масшт.'!D11</f>
        <v>1.1444736842105263</v>
      </c>
      <c r="E13" s="56">
        <f>((C13*D13/C13)/(C17*D17/C17))*'Расчет доли '!F7/100</f>
        <v>0.4994832462215573</v>
      </c>
      <c r="F13" s="6">
        <f>'Коэф.масшт.'!C11</f>
        <v>2888</v>
      </c>
      <c r="G13" s="40">
        <f>'Коэф.дисп'!D38</f>
        <v>1.404432132963989</v>
      </c>
      <c r="H13" s="8">
        <f>'Коэф.масшт.'!D11</f>
        <v>1.1444736842105263</v>
      </c>
      <c r="I13" s="57">
        <f>((F13*G13*H13/F13)/(F17*G17*H17/F17))*'Расчет доли '!F9/100</f>
        <v>0.6310503080439657</v>
      </c>
      <c r="J13" s="6">
        <f>'Коэф.масшт.'!C11</f>
        <v>2888</v>
      </c>
      <c r="K13" s="51">
        <f>'Коэф. плот.авт.дорог'!D10</f>
        <v>0</v>
      </c>
      <c r="L13" s="40">
        <f>'Коэф.дисп'!D38</f>
        <v>1.404432132963989</v>
      </c>
      <c r="M13" s="8">
        <f>'Коэф.масшт.'!D11</f>
        <v>1.1444736842105263</v>
      </c>
      <c r="N13" s="62">
        <f>(L13*M13)/(L17*M17)*'Расчет доли '!F8/100</f>
        <v>0.9424416880657138</v>
      </c>
      <c r="O13" s="6">
        <f>'Коэф.масшт.'!C11</f>
        <v>2888</v>
      </c>
      <c r="P13" s="40">
        <f>'Коэф.дисп'!D38</f>
        <v>1.404432132963989</v>
      </c>
      <c r="Q13" s="8">
        <f>'Коэф.масшт.'!D11</f>
        <v>1.1444736842105263</v>
      </c>
      <c r="R13" s="62">
        <f>(P13*Q13)/(P17*Q17)*'Расчет доли '!F10/100</f>
        <v>0.2364795852648273</v>
      </c>
      <c r="S13" s="20">
        <f t="shared" si="0"/>
        <v>2.3094548275960642</v>
      </c>
    </row>
    <row r="14" spans="1:19" ht="25.5">
      <c r="A14" s="3">
        <v>8</v>
      </c>
      <c r="B14" s="2" t="s">
        <v>10</v>
      </c>
      <c r="C14" s="6">
        <f>'Коэф.масшт.'!C12</f>
        <v>2390</v>
      </c>
      <c r="D14" s="8">
        <f>'Коэф.масшт.'!D12</f>
        <v>1.2579246861924687</v>
      </c>
      <c r="E14" s="56">
        <f>((C14*D14/C14)/(C17*D17/C17))*'Расчет доли '!F7/100</f>
        <v>0.5489967261196281</v>
      </c>
      <c r="F14" s="6">
        <f>'Коэф.масшт.'!C12</f>
        <v>2390</v>
      </c>
      <c r="G14" s="40">
        <f>'Коэф.дисп'!D46</f>
        <v>1.0418410041841004</v>
      </c>
      <c r="H14" s="8">
        <f>'Коэф.масшт.'!D12</f>
        <v>1.2579246861924687</v>
      </c>
      <c r="I14" s="57">
        <f>((F14*G14*H14/F14)/(F17*G17*H17/F17))*'Расчет доли '!F9/100</f>
        <v>0.5145333162717047</v>
      </c>
      <c r="J14" s="6">
        <f>'Коэф.масшт.'!C12</f>
        <v>2390</v>
      </c>
      <c r="K14" s="51">
        <f>'Коэф. плот.авт.дорог'!D11</f>
        <v>0</v>
      </c>
      <c r="L14" s="40">
        <f>'Коэф.дисп'!D46</f>
        <v>1.0418410041841004</v>
      </c>
      <c r="M14" s="8">
        <f>'Коэф.масшт.'!D12</f>
        <v>1.2579246861924687</v>
      </c>
      <c r="N14" s="62">
        <f>(L14*M14)/(L17*M17)*'Расчет доли '!F8/100</f>
        <v>0.7684294595406023</v>
      </c>
      <c r="O14" s="6">
        <f>'Коэф.масшт.'!C12</f>
        <v>2390</v>
      </c>
      <c r="P14" s="40">
        <f>'Коэф.дисп'!D46</f>
        <v>1.0418410041841004</v>
      </c>
      <c r="Q14" s="8">
        <f>'Коэф.масшт.'!D12</f>
        <v>1.2579246861924687</v>
      </c>
      <c r="R14" s="62">
        <f>(P14*Q14)/(P17*Q17)*'Расчет доли '!F10/100</f>
        <v>0.19281604602020358</v>
      </c>
      <c r="S14" s="20">
        <f t="shared" si="0"/>
        <v>2.0247755479521388</v>
      </c>
    </row>
    <row r="15" spans="1:19" ht="25.5">
      <c r="A15" s="3">
        <v>9</v>
      </c>
      <c r="B15" s="2" t="s">
        <v>11</v>
      </c>
      <c r="C15" s="6">
        <f>'Коэф.масшт.'!C13</f>
        <v>2504</v>
      </c>
      <c r="D15" s="8">
        <f>'Коэф.масшт.'!D13</f>
        <v>1.2279712460063898</v>
      </c>
      <c r="E15" s="56">
        <f>((C15*D15/C15)/(C17*D17/C17))*'Расчет доли '!F7/100</f>
        <v>0.535924130614764</v>
      </c>
      <c r="F15" s="6">
        <f>'Коэф.масшт.'!C13</f>
        <v>2504</v>
      </c>
      <c r="G15" s="40">
        <f>'Коэф.дисп'!D49</f>
        <v>1</v>
      </c>
      <c r="H15" s="8">
        <f>'Коэф.масшт.'!D13</f>
        <v>1.2279712460063898</v>
      </c>
      <c r="I15" s="57">
        <f>((F15*G15*H15/F15)/(F17*G17*H17/F17))*'Расчет доли '!F9/100</f>
        <v>0.48210941427225884</v>
      </c>
      <c r="J15" s="6">
        <f>'Коэф.масшт.'!C13</f>
        <v>2504</v>
      </c>
      <c r="K15" s="51">
        <f>'Коэф. плот.авт.дорог'!D12</f>
        <v>0</v>
      </c>
      <c r="L15" s="40">
        <f>'Коэф.дисп'!D49</f>
        <v>1</v>
      </c>
      <c r="M15" s="8">
        <f>'Коэф.масшт.'!D13</f>
        <v>1.2279712460063898</v>
      </c>
      <c r="N15" s="62">
        <f>(L15*M15)/(L17*M17)*'Расчет доли '!F8/100</f>
        <v>0.7200060033683789</v>
      </c>
      <c r="O15" s="6">
        <f>'Коэф.масшт.'!C13</f>
        <v>2504</v>
      </c>
      <c r="P15" s="40">
        <f>'Коэф.дисп'!D49</f>
        <v>1</v>
      </c>
      <c r="Q15" s="8">
        <f>'Коэф.масшт.'!D13</f>
        <v>1.2279712460063898</v>
      </c>
      <c r="R15" s="62">
        <f>(P15*Q15)/(P17*Q17)*'Расчет доли '!F10/100</f>
        <v>0.18066552362958277</v>
      </c>
      <c r="S15" s="20">
        <f t="shared" si="0"/>
        <v>1.9187050718849843</v>
      </c>
    </row>
    <row r="16" spans="1:19" ht="25.5">
      <c r="A16" s="4">
        <v>10</v>
      </c>
      <c r="B16" s="2" t="s">
        <v>12</v>
      </c>
      <c r="C16" s="6">
        <f>'Коэф.масшт.'!C14</f>
        <v>5188</v>
      </c>
      <c r="D16" s="8">
        <f>'Коэф.масшт.'!D14</f>
        <v>0.9030917501927525</v>
      </c>
      <c r="E16" s="56">
        <f>((C16*D16/C16)/(C17*D17/C17))*'Расчет доли '!F7/100</f>
        <v>0.3941368030085763</v>
      </c>
      <c r="F16" s="6">
        <f>'Коэф.масшт.'!C14</f>
        <v>5188</v>
      </c>
      <c r="G16" s="40">
        <f>'Коэф.дисп'!D52</f>
        <v>1.0327679259830378</v>
      </c>
      <c r="H16" s="8">
        <f>'Коэф.масшт.'!D14</f>
        <v>0.9030917501927525</v>
      </c>
      <c r="I16" s="57">
        <f>((F16*G16*H16/F16)/(F17*G17*H17/F17))*'Расчет доли '!F9/100</f>
        <v>0.36617781714793773</v>
      </c>
      <c r="J16" s="6">
        <f>'Коэф.масшт.'!C14</f>
        <v>5188</v>
      </c>
      <c r="K16" s="51">
        <f>'Коэф. плот.авт.дорог'!D13</f>
        <v>0</v>
      </c>
      <c r="L16" s="40">
        <f>'Коэф.дисп'!D52</f>
        <v>1.0327679259830378</v>
      </c>
      <c r="M16" s="8">
        <f>'Коэф.масшт.'!D14</f>
        <v>0.9030917501927525</v>
      </c>
      <c r="N16" s="62">
        <f>(L16*M16)/(L17*M17)*'Расчет доли '!F8/100</f>
        <v>0.546868032114291</v>
      </c>
      <c r="O16" s="6">
        <f>'Коэф.масшт.'!C14</f>
        <v>5188</v>
      </c>
      <c r="P16" s="40">
        <f>'Коэф.дисп'!D52</f>
        <v>1.0327679259830378</v>
      </c>
      <c r="Q16" s="8">
        <f>'Коэф.масшт.'!D14</f>
        <v>0.9030917501927525</v>
      </c>
      <c r="R16" s="62">
        <f>(P16*Q16)/(P17*Q17)*'Расчет доли '!F10/100</f>
        <v>0.13722135498314508</v>
      </c>
      <c r="S16" s="20">
        <f t="shared" si="0"/>
        <v>1.4444040072539501</v>
      </c>
    </row>
    <row r="17" spans="1:19" ht="19.5" customHeight="1">
      <c r="A17" s="3"/>
      <c r="B17" s="11" t="s">
        <v>70</v>
      </c>
      <c r="C17" s="17">
        <f>SUM(C7:C16)</f>
        <v>39311</v>
      </c>
      <c r="D17" s="15">
        <f>'Коэф.масшт.'!D15</f>
        <v>0.6399999999999999</v>
      </c>
      <c r="E17" s="56"/>
      <c r="F17" s="48">
        <f>SUM(F7:F16)</f>
        <v>39311</v>
      </c>
      <c r="G17" s="56">
        <v>1</v>
      </c>
      <c r="H17" s="15">
        <f>'Коэф.масшт.'!D15</f>
        <v>0.6399999999999999</v>
      </c>
      <c r="I17" s="57"/>
      <c r="J17" s="48">
        <f>SUM(J7:J16)</f>
        <v>39311</v>
      </c>
      <c r="K17" s="57">
        <v>1</v>
      </c>
      <c r="L17" s="56">
        <v>1</v>
      </c>
      <c r="M17" s="15">
        <f>'Коэф.масшт.'!D15</f>
        <v>0.6399999999999999</v>
      </c>
      <c r="N17" s="62"/>
      <c r="O17" s="48">
        <f>SUM(O7:O16)</f>
        <v>39311</v>
      </c>
      <c r="P17" s="56">
        <f>G17</f>
        <v>1</v>
      </c>
      <c r="Q17" s="15">
        <f>'Коэф.масшт.'!D15</f>
        <v>0.6399999999999999</v>
      </c>
      <c r="R17" s="62"/>
      <c r="S17" s="9"/>
    </row>
    <row r="18" spans="2:18" ht="12.75">
      <c r="B18" s="1"/>
      <c r="C18" s="1"/>
      <c r="D18" s="1"/>
      <c r="E18" s="67"/>
      <c r="F18" s="58"/>
      <c r="G18" s="58"/>
      <c r="H18" s="58"/>
      <c r="I18" s="65"/>
      <c r="J18" s="59"/>
      <c r="K18" s="45"/>
      <c r="L18" s="59"/>
      <c r="M18" s="59"/>
      <c r="N18" s="63"/>
      <c r="O18" s="46"/>
      <c r="P18" s="46"/>
      <c r="Q18" s="46"/>
      <c r="R18" s="63"/>
    </row>
    <row r="19" spans="2:4" ht="12.75">
      <c r="B19" s="146"/>
      <c r="C19" s="146"/>
      <c r="D19" s="146"/>
    </row>
  </sheetData>
  <sheetProtection/>
  <mergeCells count="9">
    <mergeCell ref="B19:D19"/>
    <mergeCell ref="S4:S5"/>
    <mergeCell ref="A2:O2"/>
    <mergeCell ref="A4:A5"/>
    <mergeCell ref="B4:B5"/>
    <mergeCell ref="C4:E4"/>
    <mergeCell ref="F4:I4"/>
    <mergeCell ref="J4:N4"/>
    <mergeCell ref="O4:R4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19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M18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3.875" style="46" customWidth="1"/>
    <col min="2" max="2" width="9.875" style="46" customWidth="1"/>
    <col min="3" max="3" width="10.75390625" style="105" customWidth="1"/>
    <col min="4" max="4" width="12.25390625" style="63" customWidth="1"/>
    <col min="5" max="5" width="9.375" style="46" customWidth="1"/>
    <col min="6" max="6" width="9.00390625" style="105" customWidth="1"/>
    <col min="7" max="7" width="10.625" style="63" customWidth="1"/>
    <col min="8" max="12" width="9.125" style="46" customWidth="1"/>
  </cols>
  <sheetData>
    <row r="1" ht="2.25" customHeight="1"/>
    <row r="2" spans="1:12" ht="60" customHeight="1">
      <c r="A2" s="157" t="s">
        <v>148</v>
      </c>
      <c r="B2" s="157"/>
      <c r="C2" s="157"/>
      <c r="D2" s="157"/>
      <c r="E2" s="157"/>
      <c r="F2" s="157"/>
      <c r="G2" s="157"/>
      <c r="H2" s="157"/>
      <c r="I2" s="157"/>
      <c r="J2" s="157"/>
      <c r="K2" s="113"/>
      <c r="L2" s="113"/>
    </row>
    <row r="3" spans="2:13" ht="32.25" customHeight="1">
      <c r="B3" s="158" t="s">
        <v>113</v>
      </c>
      <c r="C3" s="158"/>
      <c r="D3" s="158"/>
      <c r="E3" s="160" t="s">
        <v>115</v>
      </c>
      <c r="F3" s="161"/>
      <c r="G3" s="162"/>
      <c r="H3" s="158" t="s">
        <v>106</v>
      </c>
      <c r="I3" s="158"/>
      <c r="J3" s="158"/>
      <c r="K3" s="114"/>
      <c r="L3" s="114"/>
      <c r="M3" s="89"/>
    </row>
    <row r="4" spans="1:12" ht="121.5" customHeight="1">
      <c r="A4" s="98" t="s">
        <v>1</v>
      </c>
      <c r="B4" s="99" t="s">
        <v>85</v>
      </c>
      <c r="C4" s="100" t="s">
        <v>86</v>
      </c>
      <c r="D4" s="101" t="s">
        <v>87</v>
      </c>
      <c r="E4" s="99" t="s">
        <v>85</v>
      </c>
      <c r="F4" s="100" t="s">
        <v>86</v>
      </c>
      <c r="G4" s="101" t="s">
        <v>116</v>
      </c>
      <c r="H4" s="36" t="s">
        <v>85</v>
      </c>
      <c r="I4" s="102" t="s">
        <v>86</v>
      </c>
      <c r="J4" s="103" t="s">
        <v>87</v>
      </c>
      <c r="K4" s="119"/>
      <c r="L4" s="118"/>
    </row>
    <row r="5" spans="1:12" ht="12.75">
      <c r="A5" s="54">
        <v>1</v>
      </c>
      <c r="B5" s="54">
        <v>2</v>
      </c>
      <c r="C5" s="94">
        <v>3</v>
      </c>
      <c r="D5" s="104">
        <v>4</v>
      </c>
      <c r="E5" s="54"/>
      <c r="F5" s="94"/>
      <c r="G5" s="104"/>
      <c r="H5" s="4"/>
      <c r="I5" s="4"/>
      <c r="J5" s="4"/>
      <c r="K5" s="115"/>
      <c r="L5" s="115"/>
    </row>
    <row r="6" spans="1:13" ht="16.5" customHeight="1">
      <c r="A6" s="93" t="s">
        <v>3</v>
      </c>
      <c r="B6" s="91">
        <f>ИДП!D4</f>
        <v>0.748917278006455</v>
      </c>
      <c r="C6" s="91">
        <f>ИБР!S7</f>
        <v>1.1361950957741072</v>
      </c>
      <c r="D6" s="62">
        <f>B6/C6</f>
        <v>0.6591449662051271</v>
      </c>
      <c r="E6" s="111">
        <f>ИДП!G4</f>
        <v>0.7439525199891481</v>
      </c>
      <c r="F6" s="91">
        <f>ИБР!S7</f>
        <v>1.1361950957741072</v>
      </c>
      <c r="G6" s="62">
        <f>E6/F6</f>
        <v>0.6547753310643203</v>
      </c>
      <c r="H6" s="91">
        <f>ИДП!J4</f>
        <v>0.7427017676499509</v>
      </c>
      <c r="I6" s="91">
        <f>ИБР!S7</f>
        <v>1.1361950957741072</v>
      </c>
      <c r="J6" s="62">
        <f>H6/I6</f>
        <v>0.653674505736127</v>
      </c>
      <c r="K6" s="116"/>
      <c r="L6" s="116"/>
      <c r="M6" s="34"/>
    </row>
    <row r="7" spans="1:13" ht="17.25" customHeight="1">
      <c r="A7" s="93" t="s">
        <v>4</v>
      </c>
      <c r="B7" s="91">
        <f>ИДП!D5</f>
        <v>0.33197699369761074</v>
      </c>
      <c r="C7" s="91">
        <f>ИБР!S8</f>
        <v>1.312834173541094</v>
      </c>
      <c r="D7" s="62">
        <f>B7/C7</f>
        <v>0.25287046939231683</v>
      </c>
      <c r="E7" s="111">
        <f>ИДП!G5</f>
        <v>0.33675295349614015</v>
      </c>
      <c r="F7" s="91">
        <f>ИБР!S8</f>
        <v>1.312834173541094</v>
      </c>
      <c r="G7" s="62">
        <f aca="true" t="shared" si="0" ref="G7:G15">E7/F7</f>
        <v>0.2565083696654696</v>
      </c>
      <c r="H7" s="91">
        <f>ИДП!J5</f>
        <v>0.3386935393203823</v>
      </c>
      <c r="I7" s="91">
        <f>ИБР!S8</f>
        <v>1.312834173541094</v>
      </c>
      <c r="J7" s="62">
        <f aca="true" t="shared" si="1" ref="J7:J15">H7/I7</f>
        <v>0.25798653489254303</v>
      </c>
      <c r="K7" s="116"/>
      <c r="L7" s="116"/>
      <c r="M7" s="34"/>
    </row>
    <row r="8" spans="1:13" ht="15.75" customHeight="1">
      <c r="A8" s="93" t="s">
        <v>5</v>
      </c>
      <c r="B8" s="91">
        <f>ИДП!D6</f>
        <v>0.46445310380179183</v>
      </c>
      <c r="C8" s="91">
        <f>ИБР!S9</f>
        <v>4.104369849845612</v>
      </c>
      <c r="D8" s="62">
        <f aca="true" t="shared" si="2" ref="D8:D14">B8/C8</f>
        <v>0.11316063629579154</v>
      </c>
      <c r="E8" s="111">
        <f>ИДП!G6</f>
        <v>0.4880661309951167</v>
      </c>
      <c r="F8" s="91">
        <f>ИБР!S9</f>
        <v>4.104369849845612</v>
      </c>
      <c r="G8" s="62">
        <f t="shared" si="0"/>
        <v>0.11891377942303995</v>
      </c>
      <c r="H8" s="91">
        <f>ИДП!J6</f>
        <v>0.49860079276733377</v>
      </c>
      <c r="I8" s="91">
        <f>ИБР!S9</f>
        <v>4.104369849845612</v>
      </c>
      <c r="J8" s="62">
        <f t="shared" si="1"/>
        <v>0.12148047349731139</v>
      </c>
      <c r="K8" s="116"/>
      <c r="L8" s="116"/>
      <c r="M8" s="34"/>
    </row>
    <row r="9" spans="1:13" ht="17.25" customHeight="1">
      <c r="A9" s="93" t="s">
        <v>6</v>
      </c>
      <c r="B9" s="91">
        <f>ИДП!D7</f>
        <v>0.7583040611987846</v>
      </c>
      <c r="C9" s="91">
        <f>ИБР!S10</f>
        <v>4.003814195810643</v>
      </c>
      <c r="D9" s="62">
        <f t="shared" si="2"/>
        <v>0.18939541749770247</v>
      </c>
      <c r="E9" s="111">
        <f>ИДП!G7</f>
        <v>0.7767173180392221</v>
      </c>
      <c r="F9" s="91">
        <f>ИБР!S10</f>
        <v>4.003814195810643</v>
      </c>
      <c r="G9" s="62">
        <f t="shared" si="0"/>
        <v>0.19399434640396993</v>
      </c>
      <c r="H9" s="91">
        <f>ИДП!J7</f>
        <v>0.7754114806687852</v>
      </c>
      <c r="I9" s="91">
        <f>ИБР!S10</f>
        <v>4.003814195810643</v>
      </c>
      <c r="J9" s="62">
        <f t="shared" si="1"/>
        <v>0.19366819805977273</v>
      </c>
      <c r="K9" s="116"/>
      <c r="L9" s="116"/>
      <c r="M9" s="34"/>
    </row>
    <row r="10" spans="1:13" ht="18" customHeight="1">
      <c r="A10" s="93" t="s">
        <v>7</v>
      </c>
      <c r="B10" s="91">
        <f>ИДП!D8</f>
        <v>1.6262025457494345</v>
      </c>
      <c r="C10" s="91">
        <f>ИБР!S11</f>
        <v>2.888752062636022</v>
      </c>
      <c r="D10" s="62">
        <f t="shared" si="2"/>
        <v>0.5629429284649319</v>
      </c>
      <c r="E10" s="111">
        <f>ИДП!G8</f>
        <v>1.6231500690023961</v>
      </c>
      <c r="F10" s="91">
        <f>ИБР!S11</f>
        <v>2.888752062636022</v>
      </c>
      <c r="G10" s="62">
        <f t="shared" si="0"/>
        <v>0.561886251851345</v>
      </c>
      <c r="H10" s="91">
        <f>ИДП!J8</f>
        <v>1.6204412305982303</v>
      </c>
      <c r="I10" s="91">
        <f>ИБР!S11</f>
        <v>2.888752062636022</v>
      </c>
      <c r="J10" s="62">
        <f t="shared" si="1"/>
        <v>0.5609485326059993</v>
      </c>
      <c r="K10" s="116"/>
      <c r="L10" s="116"/>
      <c r="M10" s="34"/>
    </row>
    <row r="11" spans="1:13" ht="19.5" customHeight="1">
      <c r="A11" s="93" t="s">
        <v>8</v>
      </c>
      <c r="B11" s="91">
        <f>ИДП!D9</f>
        <v>0.39734373925986743</v>
      </c>
      <c r="C11" s="91">
        <f>ИБР!S12</f>
        <v>2.184254319955686</v>
      </c>
      <c r="D11" s="62">
        <f t="shared" si="2"/>
        <v>0.1819127633763493</v>
      </c>
      <c r="E11" s="111">
        <f>ИДП!G9</f>
        <v>0.4076364222563888</v>
      </c>
      <c r="F11" s="91">
        <f>ИБР!S12</f>
        <v>2.184254319955686</v>
      </c>
      <c r="G11" s="62">
        <f t="shared" si="0"/>
        <v>0.18662498159310445</v>
      </c>
      <c r="H11" s="91">
        <f>ИДП!J9</f>
        <v>0.4069510932938811</v>
      </c>
      <c r="I11" s="91">
        <f>ИБР!S12</f>
        <v>2.184254319955686</v>
      </c>
      <c r="J11" s="62">
        <f t="shared" si="1"/>
        <v>0.18631122281682716</v>
      </c>
      <c r="K11" s="116"/>
      <c r="L11" s="116"/>
      <c r="M11" s="34"/>
    </row>
    <row r="12" spans="1:13" ht="18" customHeight="1">
      <c r="A12" s="93" t="s">
        <v>9</v>
      </c>
      <c r="B12" s="91">
        <f>ИДП!D10</f>
        <v>0.2635667250299825</v>
      </c>
      <c r="C12" s="91">
        <f>ИБР!S13</f>
        <v>2.3094548275960642</v>
      </c>
      <c r="D12" s="62">
        <f t="shared" si="2"/>
        <v>0.11412508349614783</v>
      </c>
      <c r="E12" s="111">
        <f>ИДП!G10</f>
        <v>0.27681962658816783</v>
      </c>
      <c r="F12" s="91">
        <f>ИБР!S13</f>
        <v>2.3094548275960642</v>
      </c>
      <c r="G12" s="62">
        <f t="shared" si="0"/>
        <v>0.11986362464439812</v>
      </c>
      <c r="H12" s="91">
        <f>ИДП!J10</f>
        <v>0.2827299365568269</v>
      </c>
      <c r="I12" s="91">
        <f>ИБР!S13</f>
        <v>2.3094548275960642</v>
      </c>
      <c r="J12" s="62">
        <f t="shared" si="1"/>
        <v>0.12242280436856322</v>
      </c>
      <c r="K12" s="116"/>
      <c r="L12" s="116"/>
      <c r="M12" s="34"/>
    </row>
    <row r="13" spans="1:13" ht="28.5" customHeight="1">
      <c r="A13" s="93" t="s">
        <v>10</v>
      </c>
      <c r="B13" s="91">
        <f>ИДП!D11</f>
        <v>0.3262999489064073</v>
      </c>
      <c r="C13" s="91">
        <f>ИБР!S14</f>
        <v>2.0247755479521388</v>
      </c>
      <c r="D13" s="62">
        <f t="shared" si="2"/>
        <v>0.16115363959053514</v>
      </c>
      <c r="E13" s="111">
        <f>ИДП!G11</f>
        <v>0.336477517006268</v>
      </c>
      <c r="F13" s="91">
        <f>ИБР!S14</f>
        <v>2.0247755479521388</v>
      </c>
      <c r="G13" s="62">
        <f t="shared" si="0"/>
        <v>0.16618015628773367</v>
      </c>
      <c r="H13" s="91">
        <f>ИДП!J11</f>
        <v>0.340917371062222</v>
      </c>
      <c r="I13" s="91">
        <f>ИБР!S14</f>
        <v>2.0247755479521388</v>
      </c>
      <c r="J13" s="62">
        <f t="shared" si="1"/>
        <v>0.16837291985624103</v>
      </c>
      <c r="K13" s="116"/>
      <c r="L13" s="116"/>
      <c r="M13" s="34"/>
    </row>
    <row r="14" spans="1:13" ht="20.25" customHeight="1">
      <c r="A14" s="93" t="s">
        <v>11</v>
      </c>
      <c r="B14" s="91">
        <f>ИДП!D12</f>
        <v>0.4357923958156564</v>
      </c>
      <c r="C14" s="91">
        <f>ИБР!S15</f>
        <v>1.9187050718849843</v>
      </c>
      <c r="D14" s="62">
        <f t="shared" si="2"/>
        <v>0.22712839101817922</v>
      </c>
      <c r="E14" s="111">
        <f>ИДП!G12</f>
        <v>0.44352025289003993</v>
      </c>
      <c r="F14" s="91">
        <f>ИБР!S15</f>
        <v>1.9187050718849843</v>
      </c>
      <c r="G14" s="62">
        <f t="shared" si="0"/>
        <v>0.23115603298755782</v>
      </c>
      <c r="H14" s="91">
        <f>ИДП!J12</f>
        <v>0.44277459509753503</v>
      </c>
      <c r="I14" s="91">
        <f>ИБР!S15</f>
        <v>1.9187050718849843</v>
      </c>
      <c r="J14" s="62">
        <f t="shared" si="1"/>
        <v>0.2307674074486821</v>
      </c>
      <c r="K14" s="116"/>
      <c r="L14" s="116"/>
      <c r="M14" s="34"/>
    </row>
    <row r="15" spans="1:13" ht="18.75" customHeight="1">
      <c r="A15" s="93" t="s">
        <v>12</v>
      </c>
      <c r="B15" s="91">
        <f>ИДП!D13</f>
        <v>3.7202169548503026</v>
      </c>
      <c r="C15" s="91">
        <f>ИБР!S16</f>
        <v>1.4444040072539501</v>
      </c>
      <c r="D15" s="62">
        <f>B15/C15</f>
        <v>2.575606918955485</v>
      </c>
      <c r="E15" s="111">
        <f>ИДП!G13</f>
        <v>3.6955547157818174</v>
      </c>
      <c r="F15" s="91">
        <f>ИБР!S16</f>
        <v>1.4444040072539501</v>
      </c>
      <c r="G15" s="62">
        <f t="shared" si="0"/>
        <v>2.5585325831431853</v>
      </c>
      <c r="H15" s="91">
        <f>ИДП!J13</f>
        <v>3.689341653010738</v>
      </c>
      <c r="I15" s="91">
        <f>ИБР!S16</f>
        <v>1.4444040072539501</v>
      </c>
      <c r="J15" s="62">
        <f t="shared" si="1"/>
        <v>2.5542311115743748</v>
      </c>
      <c r="K15" s="116"/>
      <c r="L15" s="116"/>
      <c r="M15" s="34"/>
    </row>
    <row r="16" spans="1:12" ht="18.75" customHeight="1">
      <c r="A16" s="47" t="s">
        <v>70</v>
      </c>
      <c r="B16" s="48"/>
      <c r="C16" s="91"/>
      <c r="D16" s="62"/>
      <c r="E16" s="111">
        <f>ИДП!G14</f>
        <v>0</v>
      </c>
      <c r="F16" s="91"/>
      <c r="G16" s="62"/>
      <c r="H16" s="91"/>
      <c r="I16" s="91"/>
      <c r="J16" s="91"/>
      <c r="K16" s="117"/>
      <c r="L16" s="117"/>
    </row>
    <row r="17" spans="1:12" ht="24" customHeight="1">
      <c r="A17" s="86" t="s">
        <v>95</v>
      </c>
      <c r="D17" s="63">
        <f>(D6+D15+D8+D13)/4</f>
        <v>0.8772665402617347</v>
      </c>
      <c r="H17" s="105"/>
      <c r="I17" s="105"/>
      <c r="J17" s="63"/>
      <c r="K17" s="63"/>
      <c r="L17" s="63"/>
    </row>
    <row r="18" spans="1:5" ht="18.75" customHeight="1">
      <c r="A18" s="159"/>
      <c r="B18" s="159"/>
      <c r="C18" s="159"/>
      <c r="D18" s="105"/>
      <c r="E18" s="106"/>
    </row>
  </sheetData>
  <sheetProtection/>
  <mergeCells count="5">
    <mergeCell ref="A2:J2"/>
    <mergeCell ref="H3:J3"/>
    <mergeCell ref="A18:C18"/>
    <mergeCell ref="B3:D3"/>
    <mergeCell ref="E3:G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O2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2" sqref="E12"/>
    </sheetView>
  </sheetViews>
  <sheetFormatPr defaultColWidth="9.00390625" defaultRowHeight="12.75"/>
  <cols>
    <col min="2" max="2" width="23.125" style="0" customWidth="1"/>
    <col min="3" max="3" width="10.25390625" style="0" customWidth="1"/>
    <col min="4" max="4" width="9.875" style="0" customWidth="1"/>
    <col min="5" max="5" width="12.125" style="0" customWidth="1"/>
    <col min="6" max="6" width="10.375" style="0" customWidth="1"/>
    <col min="7" max="7" width="10.00390625" style="0" customWidth="1"/>
    <col min="9" max="9" width="10.375" style="0" customWidth="1"/>
    <col min="10" max="10" width="10.625" style="0" customWidth="1"/>
    <col min="13" max="13" width="10.00390625" style="0" customWidth="1"/>
    <col min="14" max="14" width="10.875" style="0" customWidth="1"/>
  </cols>
  <sheetData>
    <row r="2" spans="1:14" ht="12.75" customHeight="1">
      <c r="A2" s="163" t="s">
        <v>149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33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5" spans="1:14" ht="25.5" customHeight="1">
      <c r="A5" s="164" t="s">
        <v>0</v>
      </c>
      <c r="B5" s="164" t="s">
        <v>1</v>
      </c>
      <c r="C5" s="137" t="s">
        <v>108</v>
      </c>
      <c r="D5" s="137"/>
      <c r="E5" s="137"/>
      <c r="F5" s="137" t="s">
        <v>99</v>
      </c>
      <c r="G5" s="137"/>
      <c r="H5" s="137"/>
      <c r="I5" s="137"/>
      <c r="J5" s="137" t="s">
        <v>104</v>
      </c>
      <c r="K5" s="137"/>
      <c r="L5" s="137"/>
      <c r="M5" s="137"/>
      <c r="N5" s="137"/>
    </row>
    <row r="6" spans="1:15" ht="51">
      <c r="A6" s="164"/>
      <c r="B6" s="164"/>
      <c r="C6" s="30" t="s">
        <v>84</v>
      </c>
      <c r="D6" s="2" t="s">
        <v>100</v>
      </c>
      <c r="E6" s="11" t="s">
        <v>101</v>
      </c>
      <c r="F6" s="30" t="s">
        <v>84</v>
      </c>
      <c r="G6" s="84" t="s">
        <v>100</v>
      </c>
      <c r="H6" s="2" t="s">
        <v>98</v>
      </c>
      <c r="I6" s="11" t="s">
        <v>101</v>
      </c>
      <c r="J6" s="30" t="s">
        <v>84</v>
      </c>
      <c r="K6" s="84" t="s">
        <v>98</v>
      </c>
      <c r="L6" s="84" t="s">
        <v>105</v>
      </c>
      <c r="M6" s="2" t="s">
        <v>100</v>
      </c>
      <c r="N6" s="11" t="s">
        <v>101</v>
      </c>
      <c r="O6" s="1"/>
    </row>
    <row r="7" spans="1:14" s="29" customFormat="1" ht="12.75">
      <c r="A7" s="16">
        <v>1</v>
      </c>
      <c r="B7" s="16">
        <v>2</v>
      </c>
      <c r="C7" s="33">
        <v>3</v>
      </c>
      <c r="D7" s="32"/>
      <c r="E7" s="32"/>
      <c r="F7" s="33">
        <v>3</v>
      </c>
      <c r="G7" s="16"/>
      <c r="H7" s="32"/>
      <c r="I7" s="32"/>
      <c r="J7" s="33">
        <v>3</v>
      </c>
      <c r="K7" s="16"/>
      <c r="L7" s="16"/>
      <c r="M7" s="32"/>
      <c r="N7" s="32"/>
    </row>
    <row r="8" spans="1:14" ht="25.5">
      <c r="A8" s="3">
        <v>1</v>
      </c>
      <c r="B8" s="2" t="s">
        <v>3</v>
      </c>
      <c r="C8" s="74">
        <f>'Налоговый потен'!M7</f>
        <v>127043.16249119541</v>
      </c>
      <c r="D8" s="74">
        <f>'субв от числ уточ'!D6</f>
        <v>6364.561826587978</v>
      </c>
      <c r="E8" s="74">
        <f>C8+D8</f>
        <v>133407.7243177834</v>
      </c>
      <c r="F8" s="74">
        <f>C8</f>
        <v>127043.16249119541</v>
      </c>
      <c r="G8" s="88">
        <f>D8</f>
        <v>6364.561826587978</v>
      </c>
      <c r="H8" s="74">
        <f>'Дотац 4500'!J5</f>
        <v>0</v>
      </c>
      <c r="I8" s="74">
        <f>F8+G8+H8</f>
        <v>133407.7243177834</v>
      </c>
      <c r="J8" s="74">
        <f>'Налоговый потен'!M7</f>
        <v>127043.16249119541</v>
      </c>
      <c r="K8" s="88">
        <f>'Дотац 4500'!J5</f>
        <v>0</v>
      </c>
      <c r="L8" s="88">
        <f>'Дотац 4500'!N5</f>
        <v>0</v>
      </c>
      <c r="M8" s="74">
        <f>'субв от числ уточ'!D6</f>
        <v>6364.561826587978</v>
      </c>
      <c r="N8" s="74">
        <f>J8+K8+M8+L8</f>
        <v>133407.7243177834</v>
      </c>
    </row>
    <row r="9" spans="1:14" ht="25.5">
      <c r="A9" s="3">
        <v>2</v>
      </c>
      <c r="B9" s="2" t="s">
        <v>4</v>
      </c>
      <c r="C9" s="74">
        <f>'Налоговый потен'!M8</f>
        <v>26525.735882819983</v>
      </c>
      <c r="D9" s="74">
        <f>'субв от числ уточ'!D7</f>
        <v>3199.141650683015</v>
      </c>
      <c r="E9" s="74">
        <f aca="true" t="shared" si="0" ref="E9:E17">C9+D9</f>
        <v>29724.877533502997</v>
      </c>
      <c r="F9" s="74">
        <f aca="true" t="shared" si="1" ref="F9:F17">C9</f>
        <v>26525.735882819983</v>
      </c>
      <c r="G9" s="88">
        <f aca="true" t="shared" si="2" ref="G9:G17">D9</f>
        <v>3199.141650683015</v>
      </c>
      <c r="H9" s="74">
        <f>'Дотац 4500'!J6</f>
        <v>628.8569325814207</v>
      </c>
      <c r="I9" s="74">
        <f aca="true" t="shared" si="3" ref="I9:I17">F9+G9+H9</f>
        <v>30353.734466084417</v>
      </c>
      <c r="J9" s="74">
        <f>'Налоговый потен'!M8</f>
        <v>26525.735882819983</v>
      </c>
      <c r="K9" s="88">
        <f>'Дотац 4500'!J6</f>
        <v>628.8569325814207</v>
      </c>
      <c r="L9" s="88">
        <f>'Дотац 4500'!N6</f>
        <v>226.32962458768407</v>
      </c>
      <c r="M9" s="74">
        <f>'субв от числ уточ'!D7</f>
        <v>3199.141650683015</v>
      </c>
      <c r="N9" s="74">
        <f aca="true" t="shared" si="4" ref="N9:N17">J9+K9+M9+L9</f>
        <v>30580.064090672102</v>
      </c>
    </row>
    <row r="10" spans="1:14" ht="25.5">
      <c r="A10" s="3">
        <v>3</v>
      </c>
      <c r="B10" s="2" t="s">
        <v>5</v>
      </c>
      <c r="C10" s="74">
        <f>'Налоговый потен'!M9</f>
        <v>9951.665851253647</v>
      </c>
      <c r="D10" s="74">
        <f>'субв от числ уточ'!D8</f>
        <v>829.3527927297704</v>
      </c>
      <c r="E10" s="74">
        <f t="shared" si="0"/>
        <v>10781.018643983418</v>
      </c>
      <c r="F10" s="74">
        <f t="shared" si="1"/>
        <v>9951.665851253647</v>
      </c>
      <c r="G10" s="88">
        <f t="shared" si="2"/>
        <v>829.3527927297704</v>
      </c>
      <c r="H10" s="74">
        <f>'Дотац 4500'!J7</f>
        <v>623.7171758846223</v>
      </c>
      <c r="I10" s="74">
        <f t="shared" si="3"/>
        <v>11404.73581986804</v>
      </c>
      <c r="J10" s="74">
        <f>'Налоговый потен'!M9</f>
        <v>9951.665851253647</v>
      </c>
      <c r="K10" s="88">
        <f>'Дотац 4500'!J7</f>
        <v>623.7171758846223</v>
      </c>
      <c r="L10" s="88">
        <f>'Дотац 4500'!N7</f>
        <v>265.78626764101733</v>
      </c>
      <c r="M10" s="74">
        <f>'субв от числ уточ'!D8</f>
        <v>829.3527927297704</v>
      </c>
      <c r="N10" s="74">
        <f t="shared" si="4"/>
        <v>11670.522087509056</v>
      </c>
    </row>
    <row r="11" spans="1:14" ht="25.5">
      <c r="A11" s="3">
        <v>4</v>
      </c>
      <c r="B11" s="2" t="s">
        <v>6</v>
      </c>
      <c r="C11" s="74">
        <f>'Налоговый потен'!M10</f>
        <v>12997.049728231497</v>
      </c>
      <c r="D11" s="74">
        <f>'субв от числ уточ'!D9</f>
        <v>642.6628888860625</v>
      </c>
      <c r="E11" s="74">
        <f t="shared" si="0"/>
        <v>13639.71261711756</v>
      </c>
      <c r="F11" s="74">
        <f t="shared" si="1"/>
        <v>12997.049728231497</v>
      </c>
      <c r="G11" s="88">
        <f t="shared" si="2"/>
        <v>642.6628888860625</v>
      </c>
      <c r="H11" s="74">
        <f>'Дотац 4500'!J8</f>
        <v>424.4363423168991</v>
      </c>
      <c r="I11" s="74">
        <f t="shared" si="3"/>
        <v>14064.14895943446</v>
      </c>
      <c r="J11" s="74">
        <f>'Налоговый потен'!M10</f>
        <v>12997.049728231497</v>
      </c>
      <c r="K11" s="88">
        <f>'Дотац 4500'!J8</f>
        <v>424.4363423168991</v>
      </c>
      <c r="L11" s="88">
        <f>'Дотац 4500'!N8</f>
        <v>0</v>
      </c>
      <c r="M11" s="74">
        <f>'субв от числ уточ'!D9</f>
        <v>642.6628888860625</v>
      </c>
      <c r="N11" s="74">
        <f t="shared" si="4"/>
        <v>14064.14895943446</v>
      </c>
    </row>
    <row r="12" spans="1:14" ht="25.5">
      <c r="A12" s="3">
        <v>5</v>
      </c>
      <c r="B12" s="2" t="s">
        <v>7</v>
      </c>
      <c r="C12" s="74">
        <f>'Налоговый потен'!M11</f>
        <v>38463.144290759876</v>
      </c>
      <c r="D12" s="74">
        <f>'субв от числ уточ'!D10</f>
        <v>864.0517015593601</v>
      </c>
      <c r="E12" s="74">
        <f t="shared" si="0"/>
        <v>39327.19599231923</v>
      </c>
      <c r="F12" s="74">
        <f t="shared" si="1"/>
        <v>38463.144290759876</v>
      </c>
      <c r="G12" s="88">
        <f t="shared" si="2"/>
        <v>864.0517015593601</v>
      </c>
      <c r="H12" s="74">
        <f>'Дотац 4500'!J9</f>
        <v>188.13749313156308</v>
      </c>
      <c r="I12" s="74">
        <f t="shared" si="3"/>
        <v>39515.3334854508</v>
      </c>
      <c r="J12" s="74">
        <f>'Налоговый потен'!M11</f>
        <v>38463.144290759876</v>
      </c>
      <c r="K12" s="88">
        <f>'Дотац 4500'!J9</f>
        <v>188.13749313156308</v>
      </c>
      <c r="L12" s="88">
        <f>'Дотац 4500'!N9</f>
        <v>0.4887833843632129</v>
      </c>
      <c r="M12" s="74">
        <f>'субв от числ уточ'!D10</f>
        <v>864.0517015593601</v>
      </c>
      <c r="N12" s="74">
        <f t="shared" si="4"/>
        <v>39515.82226883516</v>
      </c>
    </row>
    <row r="13" spans="1:14" ht="25.5">
      <c r="A13" s="3">
        <v>6</v>
      </c>
      <c r="B13" s="2" t="s">
        <v>8</v>
      </c>
      <c r="C13" s="74">
        <f>'Налоговый потен'!M12</f>
        <v>9853.068260877335</v>
      </c>
      <c r="D13" s="74">
        <f>'субв от числ уточ'!D11</f>
        <v>973.5243153315868</v>
      </c>
      <c r="E13" s="74">
        <f t="shared" si="0"/>
        <v>10826.592576208921</v>
      </c>
      <c r="F13" s="74">
        <f t="shared" si="1"/>
        <v>9853.068260877335</v>
      </c>
      <c r="G13" s="88">
        <f t="shared" si="2"/>
        <v>973.5243153315868</v>
      </c>
      <c r="H13" s="74">
        <f>'Дотац 4500'!J10</f>
        <v>354.5717842346698</v>
      </c>
      <c r="I13" s="74">
        <f t="shared" si="3"/>
        <v>11181.16436044359</v>
      </c>
      <c r="J13" s="74">
        <f>'Налоговый потен'!M12</f>
        <v>9853.068260877335</v>
      </c>
      <c r="K13" s="88">
        <f>'Дотац 4500'!J10</f>
        <v>354.5717842346698</v>
      </c>
      <c r="L13" s="88">
        <f>'Дотац 4500'!N10</f>
        <v>0</v>
      </c>
      <c r="M13" s="74">
        <f>'субв от числ уточ'!D11</f>
        <v>973.5243153315868</v>
      </c>
      <c r="N13" s="74">
        <f t="shared" si="4"/>
        <v>11181.16436044359</v>
      </c>
    </row>
    <row r="14" spans="1:14" ht="25.5">
      <c r="A14" s="3">
        <v>7</v>
      </c>
      <c r="B14" s="2" t="s">
        <v>9</v>
      </c>
      <c r="C14" s="74">
        <f>'Налоговый потен'!M13</f>
        <v>9000.338174763589</v>
      </c>
      <c r="D14" s="74">
        <f>'субв от числ уточ'!D12</f>
        <v>1411.4147704204931</v>
      </c>
      <c r="E14" s="74">
        <f t="shared" si="0"/>
        <v>10411.752945184082</v>
      </c>
      <c r="F14" s="74">
        <f t="shared" si="1"/>
        <v>9000.338174763589</v>
      </c>
      <c r="G14" s="88">
        <f t="shared" si="2"/>
        <v>1411.4147704204931</v>
      </c>
      <c r="H14" s="74">
        <f>'Дотац 4500'!J11</f>
        <v>596.5097203549857</v>
      </c>
      <c r="I14" s="74">
        <f t="shared" si="3"/>
        <v>11008.262665539067</v>
      </c>
      <c r="J14" s="74">
        <f>'Налоговый потен'!M13</f>
        <v>9000.338174763589</v>
      </c>
      <c r="K14" s="88">
        <f>'Дотац 4500'!J11</f>
        <v>596.5097203549857</v>
      </c>
      <c r="L14" s="88">
        <f>'Дотац 4500'!N11</f>
        <v>253.96915363477592</v>
      </c>
      <c r="M14" s="74">
        <f>'субв от числ уточ'!D12</f>
        <v>1411.4147704204931</v>
      </c>
      <c r="N14" s="74">
        <f t="shared" si="4"/>
        <v>11262.231819173843</v>
      </c>
    </row>
    <row r="15" spans="1:14" ht="25.5">
      <c r="A15" s="3">
        <v>8</v>
      </c>
      <c r="B15" s="2" t="s">
        <v>10</v>
      </c>
      <c r="C15" s="74">
        <f>'Налоговый потен'!M14</f>
        <v>9499.17992146149</v>
      </c>
      <c r="D15" s="74">
        <f>'субв от числ уточ'!D13</f>
        <v>1168.0336915875964</v>
      </c>
      <c r="E15" s="74">
        <f t="shared" si="0"/>
        <v>10667.213613049085</v>
      </c>
      <c r="F15" s="74">
        <f t="shared" si="1"/>
        <v>9499.17992146149</v>
      </c>
      <c r="G15" s="88">
        <f t="shared" si="2"/>
        <v>1168.0336915875964</v>
      </c>
      <c r="H15" s="74">
        <f>'Дотац 4500'!J12</f>
        <v>406.1272247579778</v>
      </c>
      <c r="I15" s="74">
        <f t="shared" si="3"/>
        <v>11073.340837807064</v>
      </c>
      <c r="J15" s="74">
        <f>'Налоговый потен'!M14</f>
        <v>9499.17992146149</v>
      </c>
      <c r="K15" s="88">
        <f>'Дотац 4500'!J12</f>
        <v>406.1272247579778</v>
      </c>
      <c r="L15" s="88">
        <f>'Дотац 4500'!N12</f>
        <v>165.0080301942037</v>
      </c>
      <c r="M15" s="74">
        <f>'субв от числ уточ'!D13</f>
        <v>1168.0336915875964</v>
      </c>
      <c r="N15" s="74">
        <f t="shared" si="4"/>
        <v>11238.348868001267</v>
      </c>
    </row>
    <row r="16" spans="1:14" ht="25.5">
      <c r="A16" s="3">
        <v>9</v>
      </c>
      <c r="B16" s="2" t="s">
        <v>11</v>
      </c>
      <c r="C16" s="74">
        <f>'Налоговый потен'!M15</f>
        <v>13702.480103773352</v>
      </c>
      <c r="D16" s="74">
        <f>'субв от числ уточ'!D14</f>
        <v>1223.7474325252476</v>
      </c>
      <c r="E16" s="74">
        <f t="shared" si="0"/>
        <v>14926.2275362986</v>
      </c>
      <c r="F16" s="74">
        <f t="shared" si="1"/>
        <v>13702.480103773352</v>
      </c>
      <c r="G16" s="88">
        <f t="shared" si="2"/>
        <v>1223.7474325252476</v>
      </c>
      <c r="H16" s="74">
        <f>'Дотац 4500'!J13</f>
        <v>366.061467295817</v>
      </c>
      <c r="I16" s="74">
        <f t="shared" si="3"/>
        <v>15292.289003594416</v>
      </c>
      <c r="J16" s="74">
        <f>'Налоговый потен'!M15</f>
        <v>13702.480103773352</v>
      </c>
      <c r="K16" s="88">
        <f>'Дотац 4500'!J13</f>
        <v>366.061467295817</v>
      </c>
      <c r="L16" s="88">
        <f>'Дотац 4500'!N13</f>
        <v>0</v>
      </c>
      <c r="M16" s="74">
        <f>'субв от числ уточ'!D14</f>
        <v>1223.7474325252476</v>
      </c>
      <c r="N16" s="74">
        <f t="shared" si="4"/>
        <v>15292.289003594416</v>
      </c>
    </row>
    <row r="17" spans="1:14" ht="25.5">
      <c r="A17" s="4">
        <v>10</v>
      </c>
      <c r="B17" s="2" t="s">
        <v>12</v>
      </c>
      <c r="C17" s="74">
        <f>'Налоговый потен'!M16</f>
        <v>261464.77529486385</v>
      </c>
      <c r="D17" s="74">
        <f>'субв от числ уточ'!D15</f>
        <v>2535.4639296888913</v>
      </c>
      <c r="E17" s="74">
        <f t="shared" si="0"/>
        <v>264000.23922455276</v>
      </c>
      <c r="F17" s="74">
        <f t="shared" si="1"/>
        <v>261464.77529486385</v>
      </c>
      <c r="G17" s="88">
        <f t="shared" si="2"/>
        <v>2535.4639296888913</v>
      </c>
      <c r="H17" s="74">
        <f>'Дотац 4500'!J14</f>
        <v>0</v>
      </c>
      <c r="I17" s="74">
        <f t="shared" si="3"/>
        <v>264000.23922455276</v>
      </c>
      <c r="J17" s="74">
        <f>'Налоговый потен'!M16</f>
        <v>261464.77529486385</v>
      </c>
      <c r="K17" s="88">
        <f>'Дотац 4500'!J14</f>
        <v>0</v>
      </c>
      <c r="L17" s="88">
        <f>'Дотац 4500'!N14</f>
        <v>0</v>
      </c>
      <c r="M17" s="74">
        <f>'субв от числ уточ'!D15</f>
        <v>2535.4639296888913</v>
      </c>
      <c r="N17" s="74">
        <f t="shared" si="4"/>
        <v>264000.23922455276</v>
      </c>
    </row>
    <row r="18" spans="1:14" ht="12.75">
      <c r="A18" s="3"/>
      <c r="B18" s="11" t="s">
        <v>15</v>
      </c>
      <c r="C18" s="73">
        <f aca="true" t="shared" si="5" ref="C18:N18">SUM(C8:C17)</f>
        <v>518500.6000000001</v>
      </c>
      <c r="D18" s="73">
        <f t="shared" si="5"/>
        <v>19211.955</v>
      </c>
      <c r="E18" s="73">
        <f t="shared" si="5"/>
        <v>537712.555</v>
      </c>
      <c r="F18" s="73">
        <f>SUM(F8:F17)</f>
        <v>518500.6000000001</v>
      </c>
      <c r="G18" s="73">
        <f>SUM(G8:G17)</f>
        <v>19211.955</v>
      </c>
      <c r="H18" s="73">
        <f>SUM(H8:H17)</f>
        <v>3588.4181405579557</v>
      </c>
      <c r="I18" s="73">
        <f>SUM(I8:I17)</f>
        <v>541300.973140558</v>
      </c>
      <c r="J18" s="73">
        <f t="shared" si="5"/>
        <v>518500.6000000001</v>
      </c>
      <c r="K18" s="73">
        <f t="shared" si="5"/>
        <v>3588.4181405579557</v>
      </c>
      <c r="L18" s="73">
        <f t="shared" si="5"/>
        <v>911.5818594420442</v>
      </c>
      <c r="M18" s="73">
        <f t="shared" si="5"/>
        <v>19211.955</v>
      </c>
      <c r="N18" s="73">
        <f t="shared" si="5"/>
        <v>542212.555</v>
      </c>
    </row>
    <row r="19" spans="2:10" ht="12.75">
      <c r="B19" s="1"/>
      <c r="C19" s="7"/>
      <c r="F19" s="7"/>
      <c r="J19" s="7"/>
    </row>
    <row r="20" ht="12.75">
      <c r="B20" s="87"/>
    </row>
  </sheetData>
  <sheetProtection/>
  <mergeCells count="6">
    <mergeCell ref="F5:I5"/>
    <mergeCell ref="C5:E5"/>
    <mergeCell ref="J5:N5"/>
    <mergeCell ref="A2:N3"/>
    <mergeCell ref="B5:B6"/>
    <mergeCell ref="A5:A6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6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1" width="26.00390625" style="0" customWidth="1"/>
    <col min="2" max="2" width="13.75390625" style="0" customWidth="1"/>
    <col min="3" max="3" width="12.25390625" style="0" customWidth="1"/>
    <col min="4" max="4" width="14.00390625" style="0" customWidth="1"/>
    <col min="6" max="6" width="10.125" style="0" customWidth="1"/>
    <col min="7" max="7" width="13.25390625" style="0" customWidth="1"/>
    <col min="9" max="9" width="10.125" style="0" customWidth="1"/>
    <col min="10" max="10" width="13.25390625" style="0" customWidth="1"/>
  </cols>
  <sheetData>
    <row r="1" spans="1:10" ht="33.75" customHeight="1">
      <c r="A1" s="165" t="s">
        <v>157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1" ht="39" customHeight="1">
      <c r="A2" s="164" t="s">
        <v>1</v>
      </c>
      <c r="B2" s="137" t="s">
        <v>110</v>
      </c>
      <c r="C2" s="137"/>
      <c r="D2" s="137"/>
      <c r="E2" s="137" t="s">
        <v>130</v>
      </c>
      <c r="F2" s="137"/>
      <c r="G2" s="137"/>
      <c r="H2" s="137" t="s">
        <v>118</v>
      </c>
      <c r="I2" s="137"/>
      <c r="J2" s="137"/>
      <c r="K2" s="89"/>
    </row>
    <row r="3" spans="1:10" ht="76.5" customHeight="1">
      <c r="A3" s="164"/>
      <c r="B3" s="18" t="s">
        <v>78</v>
      </c>
      <c r="C3" s="16" t="s">
        <v>82</v>
      </c>
      <c r="D3" s="85" t="s">
        <v>83</v>
      </c>
      <c r="E3" s="18" t="s">
        <v>78</v>
      </c>
      <c r="F3" s="16" t="s">
        <v>82</v>
      </c>
      <c r="G3" s="85" t="s">
        <v>83</v>
      </c>
      <c r="H3" s="18" t="s">
        <v>78</v>
      </c>
      <c r="I3" s="16" t="s">
        <v>82</v>
      </c>
      <c r="J3" s="85" t="s">
        <v>83</v>
      </c>
    </row>
    <row r="4" spans="1:10" ht="30" customHeight="1">
      <c r="A4" s="2" t="s">
        <v>3</v>
      </c>
      <c r="B4" s="22">
        <f>'субв от числ уточ'!C6</f>
        <v>13023</v>
      </c>
      <c r="C4" s="74">
        <f>ДП!E8</f>
        <v>133407.7243177834</v>
      </c>
      <c r="D4" s="5">
        <f>(C4/B4)/(C14/B14)</f>
        <v>0.748917278006455</v>
      </c>
      <c r="E4" s="22">
        <f>B4</f>
        <v>13023</v>
      </c>
      <c r="F4" s="74">
        <f>ДП!I8</f>
        <v>133407.7243177834</v>
      </c>
      <c r="G4" s="5">
        <f>(F4/E4)/(F14/E14)</f>
        <v>0.7439525199891481</v>
      </c>
      <c r="H4" s="22">
        <f>'Коэф.масшт.'!C5</f>
        <v>13023</v>
      </c>
      <c r="I4" s="74">
        <f>ДП!N8</f>
        <v>133407.7243177834</v>
      </c>
      <c r="J4" s="5">
        <f>(I4/H4)/(I14/H14)</f>
        <v>0.7427017676499509</v>
      </c>
    </row>
    <row r="5" spans="1:10" ht="24" customHeight="1">
      <c r="A5" s="2" t="s">
        <v>4</v>
      </c>
      <c r="B5" s="22">
        <f>'субв от числ уточ'!C7</f>
        <v>6546</v>
      </c>
      <c r="C5" s="74">
        <f>ДП!E9</f>
        <v>29724.877533502997</v>
      </c>
      <c r="D5" s="5">
        <f>(C5/B5)/(C14/B14)</f>
        <v>0.33197699369761074</v>
      </c>
      <c r="E5" s="22">
        <f aca="true" t="shared" si="0" ref="E5:E13">B5</f>
        <v>6546</v>
      </c>
      <c r="F5" s="74">
        <f>ДП!I9</f>
        <v>30353.734466084417</v>
      </c>
      <c r="G5" s="5">
        <f>(F5/E5)/(F14/E14)</f>
        <v>0.33675295349614015</v>
      </c>
      <c r="H5" s="22">
        <f>'Коэф.масшт.'!C6</f>
        <v>6546</v>
      </c>
      <c r="I5" s="74">
        <f>ДП!N9</f>
        <v>30580.064090672102</v>
      </c>
      <c r="J5" s="5">
        <f>(I5/H5)/(I14/H14)</f>
        <v>0.3386935393203823</v>
      </c>
    </row>
    <row r="6" spans="1:10" ht="26.25" customHeight="1">
      <c r="A6" s="2" t="s">
        <v>5</v>
      </c>
      <c r="B6" s="22">
        <f>'субв от числ уточ'!C8</f>
        <v>1697</v>
      </c>
      <c r="C6" s="74">
        <f>ДП!E10</f>
        <v>10781.018643983418</v>
      </c>
      <c r="D6" s="5">
        <f>(C6/B6)/(C14/B14)</f>
        <v>0.46445310380179183</v>
      </c>
      <c r="E6" s="22">
        <f t="shared" si="0"/>
        <v>1697</v>
      </c>
      <c r="F6" s="74">
        <f>ДП!I10</f>
        <v>11404.73581986804</v>
      </c>
      <c r="G6" s="5">
        <f>(F6/E6)/(F14/E14)</f>
        <v>0.4880661309951167</v>
      </c>
      <c r="H6" s="22">
        <f>'Коэф.масшт.'!C7</f>
        <v>1697</v>
      </c>
      <c r="I6" s="74">
        <f>ДП!N10</f>
        <v>11670.522087509056</v>
      </c>
      <c r="J6" s="5">
        <f>(I6/H6)/(I14/H14)</f>
        <v>0.49860079276733377</v>
      </c>
    </row>
    <row r="7" spans="1:10" ht="29.25" customHeight="1">
      <c r="A7" s="2" t="s">
        <v>6</v>
      </c>
      <c r="B7" s="22">
        <f>'субв от числ уточ'!C9</f>
        <v>1315</v>
      </c>
      <c r="C7" s="74">
        <f>ДП!E11</f>
        <v>13639.71261711756</v>
      </c>
      <c r="D7" s="5">
        <f>(C7/B7)/(C14/B14)</f>
        <v>0.7583040611987846</v>
      </c>
      <c r="E7" s="22">
        <f t="shared" si="0"/>
        <v>1315</v>
      </c>
      <c r="F7" s="74">
        <f>ДП!I11</f>
        <v>14064.14895943446</v>
      </c>
      <c r="G7" s="5">
        <f>(F7/E7)/(F14/E14)</f>
        <v>0.7767173180392221</v>
      </c>
      <c r="H7" s="22">
        <f>'Коэф.масшт.'!C8</f>
        <v>1315</v>
      </c>
      <c r="I7" s="74">
        <f>ДП!N11</f>
        <v>14064.14895943446</v>
      </c>
      <c r="J7" s="5">
        <f>(I7/H7)/(I14/H14)</f>
        <v>0.7754114806687852</v>
      </c>
    </row>
    <row r="8" spans="1:10" ht="25.5" customHeight="1">
      <c r="A8" s="2" t="s">
        <v>7</v>
      </c>
      <c r="B8" s="22">
        <f>'субв от числ уточ'!C10</f>
        <v>1768</v>
      </c>
      <c r="C8" s="74">
        <f>ДП!E12</f>
        <v>39327.19599231923</v>
      </c>
      <c r="D8" s="5">
        <f>(C8/B8)/(C14/B14)</f>
        <v>1.6262025457494345</v>
      </c>
      <c r="E8" s="22">
        <f t="shared" si="0"/>
        <v>1768</v>
      </c>
      <c r="F8" s="74">
        <f>ДП!I12</f>
        <v>39515.3334854508</v>
      </c>
      <c r="G8" s="5">
        <f>(F8/E8)/(F14/E14)</f>
        <v>1.6231500690023961</v>
      </c>
      <c r="H8" s="22">
        <f>'Коэф.масшт.'!C9</f>
        <v>1768</v>
      </c>
      <c r="I8" s="74">
        <f>ДП!N12</f>
        <v>39515.82226883516</v>
      </c>
      <c r="J8" s="5">
        <f>(I8/H8)/(I14/H14)</f>
        <v>1.6204412305982303</v>
      </c>
    </row>
    <row r="9" spans="1:10" ht="27.75" customHeight="1">
      <c r="A9" s="2" t="s">
        <v>8</v>
      </c>
      <c r="B9" s="22">
        <f>'субв от числ уточ'!C11</f>
        <v>1992</v>
      </c>
      <c r="C9" s="74">
        <f>ДП!E13</f>
        <v>10826.592576208921</v>
      </c>
      <c r="D9" s="5">
        <f>(C9/B9)/(C14/B14)</f>
        <v>0.39734373925986743</v>
      </c>
      <c r="E9" s="22">
        <f t="shared" si="0"/>
        <v>1992</v>
      </c>
      <c r="F9" s="74">
        <f>ДП!I13</f>
        <v>11181.16436044359</v>
      </c>
      <c r="G9" s="5">
        <f>(F9/E9)/(F14/E14)</f>
        <v>0.4076364222563888</v>
      </c>
      <c r="H9" s="22">
        <f>'Коэф.масшт.'!C10</f>
        <v>1992</v>
      </c>
      <c r="I9" s="74">
        <f>ДП!N13</f>
        <v>11181.16436044359</v>
      </c>
      <c r="J9" s="5">
        <f>(I9/H9)/(I14/H14)</f>
        <v>0.4069510932938811</v>
      </c>
    </row>
    <row r="10" spans="1:10" ht="25.5" customHeight="1">
      <c r="A10" s="2" t="s">
        <v>9</v>
      </c>
      <c r="B10" s="22">
        <f>'субв от числ уточ'!C12</f>
        <v>2888</v>
      </c>
      <c r="C10" s="74">
        <f>ДП!E14</f>
        <v>10411.752945184082</v>
      </c>
      <c r="D10" s="5">
        <f>(C10/B10)/(C14/B14)</f>
        <v>0.2635667250299825</v>
      </c>
      <c r="E10" s="22">
        <f t="shared" si="0"/>
        <v>2888</v>
      </c>
      <c r="F10" s="74">
        <f>ДП!I14</f>
        <v>11008.262665539067</v>
      </c>
      <c r="G10" s="5">
        <f>(F10/E10)/(F14/E14)</f>
        <v>0.27681962658816783</v>
      </c>
      <c r="H10" s="22">
        <f>'Коэф.масшт.'!C11</f>
        <v>2888</v>
      </c>
      <c r="I10" s="74">
        <f>ДП!N14</f>
        <v>11262.231819173843</v>
      </c>
      <c r="J10" s="5">
        <f>(I10/H10)/(I14/H14)</f>
        <v>0.2827299365568269</v>
      </c>
    </row>
    <row r="11" spans="1:10" ht="26.25" customHeight="1">
      <c r="A11" s="2" t="s">
        <v>10</v>
      </c>
      <c r="B11" s="22">
        <f>'субв от числ уточ'!C13</f>
        <v>2390</v>
      </c>
      <c r="C11" s="74">
        <f>ДП!E15</f>
        <v>10667.213613049085</v>
      </c>
      <c r="D11" s="5">
        <f>(C11/B11)/(C14/B14)</f>
        <v>0.3262999489064073</v>
      </c>
      <c r="E11" s="22">
        <f t="shared" si="0"/>
        <v>2390</v>
      </c>
      <c r="F11" s="74">
        <f>ДП!I15</f>
        <v>11073.340837807064</v>
      </c>
      <c r="G11" s="5">
        <f>(F11/E11)/(F14/E14)</f>
        <v>0.336477517006268</v>
      </c>
      <c r="H11" s="22">
        <f>'Коэф.масшт.'!C12</f>
        <v>2390</v>
      </c>
      <c r="I11" s="74">
        <f>ДП!N15</f>
        <v>11238.348868001267</v>
      </c>
      <c r="J11" s="5">
        <f>(I11/H11)/(I14/H14)</f>
        <v>0.340917371062222</v>
      </c>
    </row>
    <row r="12" spans="1:10" ht="25.5" customHeight="1">
      <c r="A12" s="2" t="s">
        <v>11</v>
      </c>
      <c r="B12" s="22">
        <f>'субв от числ уточ'!C14</f>
        <v>2504</v>
      </c>
      <c r="C12" s="74">
        <f>ДП!E16</f>
        <v>14926.2275362986</v>
      </c>
      <c r="D12" s="5">
        <f>(C12/B12)/(C14/B14)</f>
        <v>0.4357923958156564</v>
      </c>
      <c r="E12" s="22">
        <f t="shared" si="0"/>
        <v>2504</v>
      </c>
      <c r="F12" s="74">
        <f>ДП!I16</f>
        <v>15292.289003594416</v>
      </c>
      <c r="G12" s="5">
        <f>(F12/E12)/(F14/E14)</f>
        <v>0.44352025289003993</v>
      </c>
      <c r="H12" s="22">
        <f>'Коэф.масшт.'!C13</f>
        <v>2504</v>
      </c>
      <c r="I12" s="74">
        <f>ДП!N16</f>
        <v>15292.289003594416</v>
      </c>
      <c r="J12" s="5">
        <f>(I12/H12)/(I14/H14)</f>
        <v>0.44277459509753503</v>
      </c>
    </row>
    <row r="13" spans="1:10" ht="25.5" customHeight="1">
      <c r="A13" s="2" t="s">
        <v>12</v>
      </c>
      <c r="B13" s="22">
        <f>'субв от числ уточ'!C15</f>
        <v>5188</v>
      </c>
      <c r="C13" s="74">
        <f>ДП!E17</f>
        <v>264000.23922455276</v>
      </c>
      <c r="D13" s="5">
        <f>(C13/B13)/(C14/B14)</f>
        <v>3.7202169548503026</v>
      </c>
      <c r="E13" s="22">
        <f t="shared" si="0"/>
        <v>5188</v>
      </c>
      <c r="F13" s="74">
        <f>ДП!I17</f>
        <v>264000.23922455276</v>
      </c>
      <c r="G13" s="5">
        <f>(F13/E13)/(F14/E14)</f>
        <v>3.6955547157818174</v>
      </c>
      <c r="H13" s="22">
        <f>'Коэф.масшт.'!C14</f>
        <v>5188</v>
      </c>
      <c r="I13" s="74">
        <f>ДП!N17</f>
        <v>264000.23922455276</v>
      </c>
      <c r="J13" s="5">
        <f>(I13/H13)/(I14/H14)</f>
        <v>3.689341653010738</v>
      </c>
    </row>
    <row r="14" spans="1:10" ht="18.75" customHeight="1">
      <c r="A14" s="11" t="s">
        <v>70</v>
      </c>
      <c r="B14" s="73">
        <f>SUM(B4:B13)</f>
        <v>39311</v>
      </c>
      <c r="C14" s="73">
        <f>SUM(C4:C13)</f>
        <v>537712.555</v>
      </c>
      <c r="D14" s="20"/>
      <c r="E14" s="73">
        <f>SUM(E4:E13)</f>
        <v>39311</v>
      </c>
      <c r="F14" s="73">
        <f>SUM(F4:F13)</f>
        <v>541300.973140558</v>
      </c>
      <c r="G14" s="20"/>
      <c r="H14" s="73">
        <f>SUM(H4:H13)</f>
        <v>39311</v>
      </c>
      <c r="I14" s="73">
        <f>SUM(I4:I13)</f>
        <v>542212.555</v>
      </c>
      <c r="J14" s="20"/>
    </row>
    <row r="16" ht="18.75" customHeight="1">
      <c r="A16" s="87"/>
    </row>
  </sheetData>
  <sheetProtection/>
  <mergeCells count="5">
    <mergeCell ref="A1:J1"/>
    <mergeCell ref="E2:G2"/>
    <mergeCell ref="B2:D2"/>
    <mergeCell ref="H2:J2"/>
    <mergeCell ref="A2:A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Финанасовый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Геннадьевна</dc:creator>
  <cp:keywords/>
  <dc:description/>
  <cp:lastModifiedBy>FedotovaNV</cp:lastModifiedBy>
  <cp:lastPrinted>2023-10-27T11:51:17Z</cp:lastPrinted>
  <dcterms:created xsi:type="dcterms:W3CDTF">2005-11-18T06:27:58Z</dcterms:created>
  <dcterms:modified xsi:type="dcterms:W3CDTF">2024-04-02T04:41:56Z</dcterms:modified>
  <cp:category/>
  <cp:version/>
  <cp:contentType/>
  <cp:contentStatus/>
</cp:coreProperties>
</file>