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tabRatio="929" activeTab="11"/>
  </bookViews>
  <sheets>
    <sheet name="Налоговый потен" sheetId="1" r:id="rId1"/>
    <sheet name="Коэф.масшт." sheetId="2" r:id="rId2"/>
    <sheet name="Коэф.дисп" sheetId="3" r:id="rId3"/>
    <sheet name="Расчет доли " sheetId="4" r:id="rId4"/>
    <sheet name="ИБР" sheetId="5" r:id="rId5"/>
    <sheet name="БО" sheetId="6" r:id="rId6"/>
    <sheet name="ДП" sheetId="7" r:id="rId7"/>
    <sheet name="ИДП" sheetId="8" r:id="rId8"/>
    <sheet name="субв от числ уточ" sheetId="9" r:id="rId9"/>
    <sheet name="Дотации " sheetId="10" r:id="rId10"/>
    <sheet name="РФФПП" sheetId="11" r:id="rId11"/>
    <sheet name="Дотации 2018-2020" sheetId="12" r:id="rId12"/>
  </sheets>
  <definedNames>
    <definedName name="_xlnm.Print_Area" localSheetId="4">'ИБР'!$A$1:$U$21</definedName>
    <definedName name="_xlnm.Print_Area" localSheetId="0">'Налоговый потен'!$A$1:$M$19</definedName>
  </definedNames>
  <calcPr fullCalcOnLoad="1"/>
</workbook>
</file>

<file path=xl/sharedStrings.xml><?xml version="1.0" encoding="utf-8"?>
<sst xmlns="http://schemas.openxmlformats.org/spreadsheetml/2006/main" count="341" uniqueCount="173">
  <si>
    <t>№п/п</t>
  </si>
  <si>
    <t>Наименование поселения</t>
  </si>
  <si>
    <t xml:space="preserve">Средняя численность </t>
  </si>
  <si>
    <t>Чердаклинское городское поселение</t>
  </si>
  <si>
    <t>Октябрьское городское поселение</t>
  </si>
  <si>
    <t>Бряндинское сельское поселение</t>
  </si>
  <si>
    <t>Богдашкинское сельское поселение</t>
  </si>
  <si>
    <t>Озерское сельское поселение</t>
  </si>
  <si>
    <t>Белоярское сельское поселение</t>
  </si>
  <si>
    <t>Калмаюрское сельское поселение</t>
  </si>
  <si>
    <t>Крестовогородищенское сельское поселение</t>
  </si>
  <si>
    <t>Красноярское сельское поселение</t>
  </si>
  <si>
    <t>Мирновское сельское поселение</t>
  </si>
  <si>
    <t>Численность поселения (чел.)</t>
  </si>
  <si>
    <t>Всего расходов</t>
  </si>
  <si>
    <t>ВСЕГО</t>
  </si>
  <si>
    <t>Наименование</t>
  </si>
  <si>
    <t>№</t>
  </si>
  <si>
    <t>с.Енганаево</t>
  </si>
  <si>
    <t>пос.Первомайский</t>
  </si>
  <si>
    <t>пос.Пятисотенный</t>
  </si>
  <si>
    <t>с.Абдуллово</t>
  </si>
  <si>
    <t>с.Асаново</t>
  </si>
  <si>
    <t>пос.Новый Суходол</t>
  </si>
  <si>
    <t>р.п.Чердаклы (адм.центр)</t>
  </si>
  <si>
    <t>с.Бряндино (адм. центр)</t>
  </si>
  <si>
    <t>р.п.Октябрьский (адм. центр)</t>
  </si>
  <si>
    <t>с.Ст.Бряндино</t>
  </si>
  <si>
    <t>с.Ст.Еремкино</t>
  </si>
  <si>
    <t>пос.Борисовка</t>
  </si>
  <si>
    <t>пос.Победитель</t>
  </si>
  <si>
    <t>разъезд Путевой</t>
  </si>
  <si>
    <t>с.Богдашкино (адм.центр)</t>
  </si>
  <si>
    <t>с.Петровское</t>
  </si>
  <si>
    <t>с.Войкино</t>
  </si>
  <si>
    <t>с.Ст.Матюшкино</t>
  </si>
  <si>
    <t>с.Новое Матюшкино</t>
  </si>
  <si>
    <t>разъезд Уренбаш</t>
  </si>
  <si>
    <t>с.Озерки (адм.центр)</t>
  </si>
  <si>
    <t>д.Рузаны</t>
  </si>
  <si>
    <t>с.Старый Уренбаш</t>
  </si>
  <si>
    <t>с.Суходол</t>
  </si>
  <si>
    <t>с.Новый Белый Яр (адм.центр)</t>
  </si>
  <si>
    <t>с.Ст.Белый Яр</t>
  </si>
  <si>
    <t>п.Вислая Дубрава</t>
  </si>
  <si>
    <t>с.Поповка</t>
  </si>
  <si>
    <t>с.Камышовка</t>
  </si>
  <si>
    <t>с.Коровино</t>
  </si>
  <si>
    <t>с.Уразгильдино</t>
  </si>
  <si>
    <t>с.Андреевка</t>
  </si>
  <si>
    <t>с.Татарский Калмаюр (адм.центр)</t>
  </si>
  <si>
    <t>с.Чувашский Калмаюр</t>
  </si>
  <si>
    <t>Крестово-Городищенское сельское поселение</t>
  </si>
  <si>
    <t>с.Крестово-Городище (адм.центр)</t>
  </si>
  <si>
    <t>пос.Колхозный (адм.центр)</t>
  </si>
  <si>
    <t>с.Красный Яр</t>
  </si>
  <si>
    <t>пос.Мирный (адм.центр)</t>
  </si>
  <si>
    <t>с.Архангельское</t>
  </si>
  <si>
    <t>пос.Лощина</t>
  </si>
  <si>
    <t>Всего по Чердаклинскому району</t>
  </si>
  <si>
    <t>с.Малаевка</t>
  </si>
  <si>
    <t>Дотация из ОФК</t>
  </si>
  <si>
    <t>Коэффициент дисперсности расселения</t>
  </si>
  <si>
    <t>Коэффициент масштаба(0,6*числ.пос+0,4*сред числ)/числен посел</t>
  </si>
  <si>
    <t>п. Лесная быль</t>
  </si>
  <si>
    <t>Всего по району</t>
  </si>
  <si>
    <t>пос.Белая Рыбка</t>
  </si>
  <si>
    <t xml:space="preserve">Формирование, утверждение, исполнение бюджета и конторль за исполнением данного бюджета </t>
  </si>
  <si>
    <t>Культура СДК</t>
  </si>
  <si>
    <t>ЖКХ</t>
  </si>
  <si>
    <t>Коэффициент масштаба</t>
  </si>
  <si>
    <t>ВСЕГО по району</t>
  </si>
  <si>
    <t>Коэффициент дисперсности</t>
  </si>
  <si>
    <t>Формирование, утверждение, исполнение бюджета</t>
  </si>
  <si>
    <t>Культура</t>
  </si>
  <si>
    <t xml:space="preserve">Прочие расходы </t>
  </si>
  <si>
    <t>Доля, %</t>
  </si>
  <si>
    <t>Численность (чел.)</t>
  </si>
  <si>
    <t>Коэффициент плотности автомобильных дорог</t>
  </si>
  <si>
    <t>Прочие расходы на решение вопросов местного значения</t>
  </si>
  <si>
    <t>Всего ИБР (гр5+гр9+гр14+гр18)</t>
  </si>
  <si>
    <t>Доходный потенциал, тыс.руб. ДП</t>
  </si>
  <si>
    <t>Индекс доходного потенциала ИДП (гр4/гр3)/(гр4мр/гр3мр)</t>
  </si>
  <si>
    <t>Налоговый потенциал всего НП</t>
  </si>
  <si>
    <t>Индекс доходного потенциала поселений ИДП</t>
  </si>
  <si>
    <t>Индекс бюджетных расходов поселений ИБР</t>
  </si>
  <si>
    <t>Уровень расчетной бюджетной обеспеченности БО (гр2/гр3)</t>
  </si>
  <si>
    <t>Индекс бюджетных расходов ИБР</t>
  </si>
  <si>
    <t>Увеличение   ( + ), уменьшение  ( - )</t>
  </si>
  <si>
    <t>Дотация из РФК</t>
  </si>
  <si>
    <t>Субвенции из областного бюджета</t>
  </si>
  <si>
    <t>4а</t>
  </si>
  <si>
    <t>НП НДФЛ</t>
  </si>
  <si>
    <t>земельный налог</t>
  </si>
  <si>
    <t>Налог на имущество физ лиц</t>
  </si>
  <si>
    <t>БНпос/БН</t>
  </si>
  <si>
    <t>исп. Кондратьева Е.П.</t>
  </si>
  <si>
    <t>средний уровень расчетной бюджетной обеспеченности У1</t>
  </si>
  <si>
    <t>средний У1</t>
  </si>
  <si>
    <t>Первая часть дотации (гр7*П)</t>
  </si>
  <si>
    <t>первая часть дотации</t>
  </si>
  <si>
    <t>с учетом первой части дотации и субвенций</t>
  </si>
  <si>
    <t>субвенции</t>
  </si>
  <si>
    <t xml:space="preserve">Доходный потенциал ДП </t>
  </si>
  <si>
    <t>Уровень бюджетной обеспеченности БО для распределения первой части дотации</t>
  </si>
  <si>
    <t>Объем средств, необходимый для доведения расчетной бюджетной обеспеченности j-го поселения  до второго среднего уровня расчетной бюджетной обеспеченности Т2j=</t>
  </si>
  <si>
    <t>с учетом первой, второй  части дотации и субвенций</t>
  </si>
  <si>
    <t>вторая часть дотации</t>
  </si>
  <si>
    <t>с учетом первой, второй части дотации и субвенций</t>
  </si>
  <si>
    <t>Вторая часть дотации</t>
  </si>
  <si>
    <t>Доходный потенциал</t>
  </si>
  <si>
    <t>Сумма дотации из субвенций (тыс. руб.)</t>
  </si>
  <si>
    <t>с учетом налогового потенциала и  субвенций</t>
  </si>
  <si>
    <t>с учетом субвенций</t>
  </si>
  <si>
    <t>Объем средств, необходимый для доведения расчетной бюджетной обеспеченности j-го поселения  до среднего уровня расчетной бюджетной обеспеченности (гр4мр/гр3мр)*(У1-гр6)*гр5*гр3</t>
  </si>
  <si>
    <t>с учетом субвенций и первой части дотации</t>
  </si>
  <si>
    <t>Уровень расчетной бюджетной обеспеченности БО1</t>
  </si>
  <si>
    <t>Уровень бюджетной обеспеченности БО1 для распределения второй части дотации</t>
  </si>
  <si>
    <t>У2</t>
  </si>
  <si>
    <t>с учетом налогового потенциала, первой, второй части дотации и субвенций</t>
  </si>
  <si>
    <t>недостаток на з/пл и ком усл</t>
  </si>
  <si>
    <t>ИБР ((гр3*гр4/гр3)/(гр3мр*гр4мр/гр3мр))*27,9/100</t>
  </si>
  <si>
    <t>Прогноз налоговых, неналоговых доходов, субвенций, 1 части дотации ПДпмр</t>
  </si>
  <si>
    <t>разница</t>
  </si>
  <si>
    <t>Всего дотации</t>
  </si>
  <si>
    <t>ЖКХ, дорожная деятельность</t>
  </si>
  <si>
    <t>ИБР (гр6*гр7*гр8/гр6)/(гр6мр*гр7мр*гр8мр/г6мр))*25,1/100</t>
  </si>
  <si>
    <t>степень отставания 0,03</t>
  </si>
  <si>
    <t>ИБР (на 37,5%)</t>
  </si>
  <si>
    <t>ИБР (9,4%)</t>
  </si>
  <si>
    <t>Всего доходов собственных, дотации из областного и местного бюджета</t>
  </si>
  <si>
    <t>с учетом налогового потенциала, первой части дотации и субвенций</t>
  </si>
  <si>
    <t>Единный норматив отчислений в бюджеты поселений налога, %</t>
  </si>
  <si>
    <t>2017г.</t>
  </si>
  <si>
    <t>2018г.</t>
  </si>
  <si>
    <t>2019г.</t>
  </si>
  <si>
    <t>Расчет налоговый потенциала на 2018 год</t>
  </si>
  <si>
    <t xml:space="preserve">НДФЛ факт за 2016г </t>
  </si>
  <si>
    <t>Зем налог факт за 2016</t>
  </si>
  <si>
    <t xml:space="preserve"> факт за 2016</t>
  </si>
  <si>
    <t>НП ндфл на 2018г. (=ПДпосел конс*Норм*(Бнпос/Бнконс пос)</t>
  </si>
  <si>
    <t>НП зем налог на 2018г</t>
  </si>
  <si>
    <t>НП на 2018г.</t>
  </si>
  <si>
    <t>ВСЕГО НП на 2018г.</t>
  </si>
  <si>
    <t>Количество жителей на 01.01.2017г.</t>
  </si>
  <si>
    <t>Расчет дотации из районного фонда финансовой поддержки поселений за счет субвенций из областного фонда компенсаций на 2018 год</t>
  </si>
  <si>
    <t>на 2017</t>
  </si>
  <si>
    <t>2018-2017</t>
  </si>
  <si>
    <t>Прогноз собственных доходов на 2018г.</t>
  </si>
  <si>
    <t>Всего дотации из местного бюджета на 2018г.</t>
  </si>
  <si>
    <t>Всего дотации из местного бюджета на 2017</t>
  </si>
  <si>
    <t>разница 2018-2017</t>
  </si>
  <si>
    <t>Налоговый потенциал на 2018г.</t>
  </si>
  <si>
    <t>2017</t>
  </si>
  <si>
    <t>Всего собственных и дотаций 2018г. На 1 человека, руб.</t>
  </si>
  <si>
    <t>Всего налоговый потенциал, дотации на 2018г.</t>
  </si>
  <si>
    <t>Всего налоговый потенциал, дотации на 2018г. На 1 человека, руб.</t>
  </si>
  <si>
    <t xml:space="preserve">Дотация из районного  фонда финансовой поддержки поселений на 2018 год. </t>
  </si>
  <si>
    <t>Прогнозные показатели дотации на выравнивание бюджетной обеспеченности  поселений Чердаклинского района на 2018 - 2020 года</t>
  </si>
  <si>
    <t>2020г.</t>
  </si>
  <si>
    <t>Всего дотации из областного и местного бюджетов на 2018г.</t>
  </si>
  <si>
    <t>РФФПП 2018г.</t>
  </si>
  <si>
    <t>Расчет  дотации из фонда финансовой поддержки поселений, располдоженных на территории муниципального образования «Чердаклинский район»  Ульяновской области  на 2018 год</t>
  </si>
  <si>
    <t>Расчет доходного потенциала поселений, расположенных на территории муниципального образования «Чердаклинский район»  Ульяновской области на 2018 год</t>
  </si>
  <si>
    <t xml:space="preserve">Расчет индекса бюджетных расходов поселений, расположенных на территории муниципального образования «Чердаклинский район» Ульяновской области на 2018 год </t>
  </si>
  <si>
    <t>Расчет коэффициента дисперсности по поселениям, расположенным на территории муниципального образования «Чердаклинский район» Ульяновской области на 2018 год</t>
  </si>
  <si>
    <t>Расчет коэффициента масштаба по поселениям, расположенным на территории муниципального образования «Чердаклинский район» Ульяновской области на 2018 год</t>
  </si>
  <si>
    <t>Определение доли расходов на 2018г.  исходя из фактического расхода без субвенций и субсидий</t>
  </si>
  <si>
    <t>уточненный на 01.08.2017</t>
  </si>
  <si>
    <t>Оценка исполнения за 2017г.</t>
  </si>
  <si>
    <t>Оценка исполнения за 2017г. - полномочия по 136 ФЗ</t>
  </si>
  <si>
    <t xml:space="preserve">Уровень расчетной бюджетной обеспеченности поселений, расположенных на территории муниципального образования «Чердаклинский район» Ульяновской области на 2018 год </t>
  </si>
  <si>
    <t>Расчет индекса доходного потенциала  на 2018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</si>
</sst>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0.0000"/>
    <numFmt numFmtId="168" formatCode="_-* #,##0_р_._-;\-* #,##0_р_._-;_-* &quot;-&quot;??_р_._-;_-@_-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#,##0.00&quot;р.&quot;"/>
    <numFmt numFmtId="176" formatCode="#,##0.000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1" xfId="0" applyBorder="1" applyAlignment="1">
      <alignment horizontal="center" wrapText="1"/>
    </xf>
    <xf numFmtId="165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2" fontId="0" fillId="0" borderId="0" xfId="0" applyNumberFormat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1" fontId="0" fillId="0" borderId="1" xfId="0" applyNumberFormat="1" applyBorder="1" applyAlignment="1">
      <alignment/>
    </xf>
    <xf numFmtId="1" fontId="2" fillId="0" borderId="1" xfId="0" applyNumberFormat="1" applyFont="1" applyBorder="1" applyAlignment="1">
      <alignment/>
    </xf>
    <xf numFmtId="0" fontId="0" fillId="0" borderId="2" xfId="0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164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0" fillId="0" borderId="1" xfId="0" applyNumberFormat="1" applyBorder="1" applyAlignment="1">
      <alignment wrapText="1"/>
    </xf>
    <xf numFmtId="1" fontId="0" fillId="0" borderId="0" xfId="0" applyNumberFormat="1" applyAlignment="1">
      <alignment/>
    </xf>
    <xf numFmtId="2" fontId="0" fillId="0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2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/>
    </xf>
    <xf numFmtId="165" fontId="0" fillId="0" borderId="0" xfId="0" applyNumberFormat="1" applyAlignment="1">
      <alignment wrapText="1"/>
    </xf>
    <xf numFmtId="2" fontId="0" fillId="0" borderId="1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wrapText="1"/>
    </xf>
    <xf numFmtId="2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165" fontId="0" fillId="0" borderId="0" xfId="0" applyNumberFormat="1" applyFill="1" applyAlignment="1">
      <alignment/>
    </xf>
    <xf numFmtId="164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9" fillId="0" borderId="1" xfId="0" applyFont="1" applyFill="1" applyBorder="1" applyAlignment="1">
      <alignment wrapText="1"/>
    </xf>
    <xf numFmtId="165" fontId="2" fillId="0" borderId="0" xfId="0" applyNumberFormat="1" applyFont="1" applyFill="1" applyAlignment="1">
      <alignment/>
    </xf>
    <xf numFmtId="0" fontId="9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2" fontId="2" fillId="0" borderId="0" xfId="0" applyNumberFormat="1" applyFont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3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4" fontId="2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9" fontId="2" fillId="0" borderId="2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4" xfId="0" applyFill="1" applyBorder="1" applyAlignment="1">
      <alignment wrapText="1"/>
    </xf>
    <xf numFmtId="0" fontId="0" fillId="0" borderId="0" xfId="0" applyAlignment="1">
      <alignment horizontal="left" wrapText="1"/>
    </xf>
    <xf numFmtId="4" fontId="0" fillId="0" borderId="1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4" xfId="0" applyFill="1" applyBorder="1" applyAlignment="1">
      <alignment/>
    </xf>
    <xf numFmtId="0" fontId="7" fillId="0" borderId="0" xfId="0" applyFont="1" applyAlignment="1">
      <alignment wrapText="1"/>
    </xf>
    <xf numFmtId="2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" xfId="0" applyNumberForma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64" fontId="0" fillId="0" borderId="5" xfId="0" applyNumberForma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 wrapText="1"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0" fillId="0" borderId="1" xfId="0" applyNumberFormat="1" applyFill="1" applyBorder="1" applyAlignment="1">
      <alignment wrapText="1"/>
    </xf>
    <xf numFmtId="2" fontId="0" fillId="3" borderId="1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176" fontId="0" fillId="0" borderId="1" xfId="0" applyNumberFormat="1" applyFill="1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/>
    </xf>
    <xf numFmtId="0" fontId="10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0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3:O19"/>
  <sheetViews>
    <sheetView view="pageBreakPreview" zoomScale="75" zoomScaleSheetLayoutView="75" workbookViewId="0" topLeftCell="A1">
      <selection activeCell="L13" sqref="L13"/>
    </sheetView>
  </sheetViews>
  <sheetFormatPr defaultColWidth="9.00390625" defaultRowHeight="12.75"/>
  <cols>
    <col min="1" max="1" width="5.875" style="0" customWidth="1"/>
    <col min="2" max="2" width="23.25390625" style="0" customWidth="1"/>
    <col min="3" max="4" width="10.875" style="0" customWidth="1"/>
    <col min="5" max="5" width="9.875" style="0" customWidth="1"/>
    <col min="6" max="6" width="9.875" style="0" bestFit="1" customWidth="1"/>
    <col min="7" max="7" width="11.125" style="0" customWidth="1"/>
    <col min="8" max="8" width="10.875" style="0" customWidth="1"/>
    <col min="9" max="9" width="9.875" style="0" bestFit="1" customWidth="1"/>
    <col min="10" max="10" width="10.125" style="0" customWidth="1"/>
    <col min="11" max="11" width="9.25390625" style="0" bestFit="1" customWidth="1"/>
    <col min="12" max="12" width="13.25390625" style="0" customWidth="1"/>
    <col min="13" max="13" width="12.25390625" style="0" customWidth="1"/>
    <col min="14" max="14" width="11.875" style="0" bestFit="1" customWidth="1"/>
    <col min="15" max="15" width="9.25390625" style="18" bestFit="1" customWidth="1"/>
  </cols>
  <sheetData>
    <row r="3" spans="1:9" ht="18">
      <c r="A3" s="140" t="s">
        <v>136</v>
      </c>
      <c r="B3" s="140"/>
      <c r="C3" s="140"/>
      <c r="D3" s="140"/>
      <c r="E3" s="140"/>
      <c r="F3" s="140"/>
      <c r="G3" s="140"/>
      <c r="H3" s="140"/>
      <c r="I3" s="140"/>
    </row>
    <row r="5" spans="1:14" ht="12.75">
      <c r="A5" s="141" t="s">
        <v>0</v>
      </c>
      <c r="B5" s="142" t="s">
        <v>1</v>
      </c>
      <c r="C5" s="144" t="s">
        <v>92</v>
      </c>
      <c r="D5" s="144"/>
      <c r="E5" s="144"/>
      <c r="F5" s="144"/>
      <c r="G5" s="144" t="s">
        <v>93</v>
      </c>
      <c r="H5" s="144"/>
      <c r="I5" s="144"/>
      <c r="J5" s="144" t="s">
        <v>94</v>
      </c>
      <c r="K5" s="144"/>
      <c r="L5" s="144"/>
      <c r="M5" s="146" t="s">
        <v>143</v>
      </c>
      <c r="N5" s="139"/>
    </row>
    <row r="6" spans="1:15" ht="102">
      <c r="A6" s="141"/>
      <c r="B6" s="143"/>
      <c r="C6" s="11" t="s">
        <v>137</v>
      </c>
      <c r="D6" s="11" t="s">
        <v>132</v>
      </c>
      <c r="E6" s="11" t="s">
        <v>95</v>
      </c>
      <c r="F6" s="47" t="s">
        <v>140</v>
      </c>
      <c r="G6" s="47" t="s">
        <v>138</v>
      </c>
      <c r="H6" s="47" t="s">
        <v>95</v>
      </c>
      <c r="I6" s="47" t="s">
        <v>141</v>
      </c>
      <c r="J6" s="51" t="s">
        <v>139</v>
      </c>
      <c r="K6" s="47" t="s">
        <v>95</v>
      </c>
      <c r="L6" s="51" t="s">
        <v>142</v>
      </c>
      <c r="M6" s="146"/>
      <c r="N6" s="139"/>
      <c r="O6" s="44"/>
    </row>
    <row r="7" spans="1:14" ht="25.5">
      <c r="A7" s="3">
        <v>1</v>
      </c>
      <c r="B7" s="2" t="s">
        <v>3</v>
      </c>
      <c r="C7" s="50">
        <v>19971.6</v>
      </c>
      <c r="D7" s="50">
        <v>15</v>
      </c>
      <c r="E7" s="50">
        <f>C7/C17</f>
        <v>0.6541481197614204</v>
      </c>
      <c r="F7" s="52">
        <f>F17*E7</f>
        <v>22015.093311322697</v>
      </c>
      <c r="G7" s="70">
        <v>11135.9</v>
      </c>
      <c r="H7" s="52">
        <f>G7/G17</f>
        <v>0.32148816638085836</v>
      </c>
      <c r="I7" s="70">
        <f>I17*H7</f>
        <v>10528.737448973112</v>
      </c>
      <c r="J7" s="52">
        <v>1461.2</v>
      </c>
      <c r="K7" s="52">
        <f>J7/J17</f>
        <v>0.28202505259500876</v>
      </c>
      <c r="L7" s="52">
        <f>L17*K7</f>
        <v>1775.9117561907701</v>
      </c>
      <c r="M7" s="14">
        <f>F7+I7+L7</f>
        <v>34319.74251648658</v>
      </c>
      <c r="N7" s="83"/>
    </row>
    <row r="8" spans="1:14" ht="25.5">
      <c r="A8" s="3">
        <v>2</v>
      </c>
      <c r="B8" s="2" t="s">
        <v>4</v>
      </c>
      <c r="C8" s="50">
        <v>2234.7</v>
      </c>
      <c r="D8" s="50">
        <v>7</v>
      </c>
      <c r="E8" s="50">
        <f>C8/C17</f>
        <v>0.07319517731332724</v>
      </c>
      <c r="F8" s="52">
        <f>F17*E8</f>
        <v>2463.354414409103</v>
      </c>
      <c r="G8" s="70">
        <v>1134.4</v>
      </c>
      <c r="H8" s="52">
        <f>G8/G17</f>
        <v>0.03274959149619212</v>
      </c>
      <c r="I8" s="70">
        <f>I17*H8</f>
        <v>1072.549121500292</v>
      </c>
      <c r="J8" s="52">
        <v>734.8</v>
      </c>
      <c r="K8" s="52">
        <f>J8/J17</f>
        <v>0.1418231649649688</v>
      </c>
      <c r="L8" s="52">
        <f>L17*K8</f>
        <v>893.0604697844085</v>
      </c>
      <c r="M8" s="14">
        <f aca="true" t="shared" si="0" ref="M8:M16">F8+I8+L8</f>
        <v>4428.964005693803</v>
      </c>
      <c r="N8" s="18"/>
    </row>
    <row r="9" spans="1:14" ht="25.5">
      <c r="A9" s="3">
        <v>3</v>
      </c>
      <c r="B9" s="2" t="s">
        <v>5</v>
      </c>
      <c r="C9" s="50">
        <v>365.3</v>
      </c>
      <c r="D9" s="50">
        <v>7</v>
      </c>
      <c r="E9" s="50">
        <f>C9/C17</f>
        <v>0.011965005715558438</v>
      </c>
      <c r="F9" s="52">
        <f>F17*E9</f>
        <v>402.677481354833</v>
      </c>
      <c r="G9" s="70">
        <v>834.5</v>
      </c>
      <c r="H9" s="52">
        <f>G9/G17</f>
        <v>0.024091620331075737</v>
      </c>
      <c r="I9" s="70">
        <f>I17*H9</f>
        <v>789.0005658427305</v>
      </c>
      <c r="J9" s="52">
        <v>210.1</v>
      </c>
      <c r="K9" s="52">
        <f>J9/J17</f>
        <v>0.04055123429387581</v>
      </c>
      <c r="L9" s="52">
        <f>L17*K9</f>
        <v>255.351122348536</v>
      </c>
      <c r="M9" s="14">
        <f t="shared" si="0"/>
        <v>1447.0291695460994</v>
      </c>
      <c r="N9" s="18"/>
    </row>
    <row r="10" spans="1:14" ht="25.5">
      <c r="A10" s="3">
        <v>4</v>
      </c>
      <c r="B10" s="2" t="s">
        <v>6</v>
      </c>
      <c r="C10" s="50">
        <v>325.4</v>
      </c>
      <c r="D10" s="50">
        <v>7</v>
      </c>
      <c r="E10" s="50">
        <f>C10/C17</f>
        <v>0.010658124445230538</v>
      </c>
      <c r="F10" s="52">
        <f>F17*E10</f>
        <v>358.69491495445567</v>
      </c>
      <c r="G10" s="70">
        <v>3078.5</v>
      </c>
      <c r="H10" s="52">
        <f>G10/G17</f>
        <v>0.08887483905238665</v>
      </c>
      <c r="I10" s="70">
        <f>I17*H10</f>
        <v>2910.6509789656625</v>
      </c>
      <c r="J10" s="52">
        <v>271.6</v>
      </c>
      <c r="K10" s="52">
        <f>J10/J17</f>
        <v>0.05242130049603366</v>
      </c>
      <c r="L10" s="52">
        <f>L17*K10</f>
        <v>330.096929223524</v>
      </c>
      <c r="M10" s="14">
        <f t="shared" si="0"/>
        <v>3599.4428231436423</v>
      </c>
      <c r="N10" s="18"/>
    </row>
    <row r="11" spans="1:14" ht="25.5">
      <c r="A11" s="3">
        <v>5</v>
      </c>
      <c r="B11" s="2" t="s">
        <v>7</v>
      </c>
      <c r="C11" s="50">
        <v>619.8</v>
      </c>
      <c r="D11" s="50">
        <v>7</v>
      </c>
      <c r="E11" s="50">
        <f>C11/C17</f>
        <v>0.020300877477424362</v>
      </c>
      <c r="F11" s="52">
        <f>F17*E11</f>
        <v>683.217911151726</v>
      </c>
      <c r="G11" s="70">
        <v>1209.2</v>
      </c>
      <c r="H11" s="52">
        <f>G11/G17</f>
        <v>0.03490903212023581</v>
      </c>
      <c r="I11" s="70">
        <f>I17*H11</f>
        <v>1143.2708019377226</v>
      </c>
      <c r="J11" s="52">
        <v>179.4</v>
      </c>
      <c r="K11" s="52">
        <f>J11/J17</f>
        <v>0.03462585165312385</v>
      </c>
      <c r="L11" s="52">
        <f>L17*K11</f>
        <v>218.0389878597209</v>
      </c>
      <c r="M11" s="14">
        <f t="shared" si="0"/>
        <v>2044.5277009491695</v>
      </c>
      <c r="N11" s="18"/>
    </row>
    <row r="12" spans="1:14" ht="25.5">
      <c r="A12" s="3">
        <v>6</v>
      </c>
      <c r="B12" s="2" t="s">
        <v>8</v>
      </c>
      <c r="C12" s="50">
        <v>385.7</v>
      </c>
      <c r="D12" s="50">
        <v>7</v>
      </c>
      <c r="E12" s="50">
        <f>C12/C17</f>
        <v>0.012633185613169694</v>
      </c>
      <c r="F12" s="52">
        <f>F17*E12</f>
        <v>425.16480853698073</v>
      </c>
      <c r="G12" s="70">
        <v>2197.9</v>
      </c>
      <c r="H12" s="52">
        <f>G12/G17</f>
        <v>0.06345233352387222</v>
      </c>
      <c r="I12" s="70">
        <f>I17*H12</f>
        <v>2078.063922906815</v>
      </c>
      <c r="J12" s="52">
        <v>286.2</v>
      </c>
      <c r="K12" s="52">
        <f>J12/J17</f>
        <v>0.05523923491150527</v>
      </c>
      <c r="L12" s="52">
        <f>L17*K12</f>
        <v>347.8414622377487</v>
      </c>
      <c r="M12" s="14">
        <f t="shared" si="0"/>
        <v>2851.0701936815444</v>
      </c>
      <c r="N12" s="18"/>
    </row>
    <row r="13" spans="1:14" ht="25.5">
      <c r="A13" s="3">
        <v>7</v>
      </c>
      <c r="B13" s="2" t="s">
        <v>9</v>
      </c>
      <c r="C13" s="50">
        <v>368.5</v>
      </c>
      <c r="D13" s="50">
        <v>7</v>
      </c>
      <c r="E13" s="50">
        <f>C13/C17</f>
        <v>0.012069818248517066</v>
      </c>
      <c r="F13" s="52">
        <f>F17*E13</f>
        <v>406.20490522654245</v>
      </c>
      <c r="G13" s="70">
        <v>2149.8</v>
      </c>
      <c r="H13" s="52">
        <f>G13/G17</f>
        <v>0.06206370927231471</v>
      </c>
      <c r="I13" s="70">
        <f>I17*H13</f>
        <v>2032.5864786683067</v>
      </c>
      <c r="J13" s="52">
        <v>288.8</v>
      </c>
      <c r="K13" s="52">
        <f>J13/J17</f>
        <v>0.05574105884850707</v>
      </c>
      <c r="L13" s="52">
        <f>L17*K13</f>
        <v>351.00144756904905</v>
      </c>
      <c r="M13" s="14">
        <f t="shared" si="0"/>
        <v>2789.792831463898</v>
      </c>
      <c r="N13" s="18"/>
    </row>
    <row r="14" spans="1:14" ht="25.5">
      <c r="A14" s="3">
        <v>8</v>
      </c>
      <c r="B14" s="2" t="s">
        <v>10</v>
      </c>
      <c r="C14" s="50">
        <v>585.1</v>
      </c>
      <c r="D14" s="50">
        <v>7</v>
      </c>
      <c r="E14" s="50">
        <f>C14/C17</f>
        <v>0.019164316573154237</v>
      </c>
      <c r="F14" s="52">
        <f>F17*E14</f>
        <v>644.9674085428766</v>
      </c>
      <c r="G14" s="70">
        <v>1025</v>
      </c>
      <c r="H14" s="52">
        <f>G14/G17</f>
        <v>0.029591265235892908</v>
      </c>
      <c r="I14" s="70">
        <f>I17*H14</f>
        <v>969.1139364754928</v>
      </c>
      <c r="J14" s="52">
        <v>187.7</v>
      </c>
      <c r="K14" s="52">
        <f>J14/J17</f>
        <v>0.03622782806739881</v>
      </c>
      <c r="L14" s="52">
        <f>L17*K14</f>
        <v>228.1266333404103</v>
      </c>
      <c r="M14" s="14">
        <f t="shared" si="0"/>
        <v>1842.2079783587797</v>
      </c>
      <c r="N14" s="18"/>
    </row>
    <row r="15" spans="1:14" ht="25.5">
      <c r="A15" s="3">
        <v>9</v>
      </c>
      <c r="B15" s="2" t="s">
        <v>11</v>
      </c>
      <c r="C15" s="50">
        <v>495.9</v>
      </c>
      <c r="D15" s="50">
        <v>7</v>
      </c>
      <c r="E15" s="50">
        <f>C15/C17</f>
        <v>0.016242667216932464</v>
      </c>
      <c r="F15" s="52">
        <f>F17*E15</f>
        <v>546.6404681189753</v>
      </c>
      <c r="G15" s="70">
        <v>2281</v>
      </c>
      <c r="H15" s="52">
        <f>G15/G17</f>
        <v>0.06585139122250899</v>
      </c>
      <c r="I15" s="70">
        <f>I17*H15</f>
        <v>2156.6330625371693</v>
      </c>
      <c r="J15" s="52">
        <v>426.3</v>
      </c>
      <c r="K15" s="52">
        <f>J15/J17</f>
        <v>0.08227982474764046</v>
      </c>
      <c r="L15" s="52">
        <f>L17*K15</f>
        <v>518.116056435892</v>
      </c>
      <c r="M15" s="14">
        <f t="shared" si="0"/>
        <v>3221.3895870920364</v>
      </c>
      <c r="N15" s="18"/>
    </row>
    <row r="16" spans="1:14" ht="25.5">
      <c r="A16" s="4">
        <v>10</v>
      </c>
      <c r="B16" s="2" t="s">
        <v>12</v>
      </c>
      <c r="C16" s="50">
        <v>5178.7</v>
      </c>
      <c r="D16" s="50">
        <v>7</v>
      </c>
      <c r="E16" s="50">
        <f>C16/C17</f>
        <v>0.1696227076352655</v>
      </c>
      <c r="F16" s="52">
        <f>F17*E16</f>
        <v>5708.584376381806</v>
      </c>
      <c r="G16" s="70">
        <v>9592.4</v>
      </c>
      <c r="H16" s="52">
        <f>G16/G17</f>
        <v>0.27692805136466253</v>
      </c>
      <c r="I16" s="70">
        <f>I17*H16</f>
        <v>9069.393682192698</v>
      </c>
      <c r="J16" s="52">
        <v>1135</v>
      </c>
      <c r="K16" s="52">
        <f>J16/J17</f>
        <v>0.21906544942193742</v>
      </c>
      <c r="L16" s="52">
        <f>L17*K16</f>
        <v>1379.45513500994</v>
      </c>
      <c r="M16" s="14">
        <f t="shared" si="0"/>
        <v>16157.433193584442</v>
      </c>
      <c r="N16" s="18"/>
    </row>
    <row r="17" spans="1:14" ht="12.75">
      <c r="A17" s="3"/>
      <c r="B17" s="11" t="s">
        <v>15</v>
      </c>
      <c r="C17" s="14">
        <f>C7+C8+C9+C10+C11+C12+C13+C14+C15+C16</f>
        <v>30530.7</v>
      </c>
      <c r="D17" s="14"/>
      <c r="E17" s="14">
        <f aca="true" t="shared" si="1" ref="E17:K17">E7+E8+E9+E10+E11+E12+E13+E14+E15+E16</f>
        <v>1</v>
      </c>
      <c r="F17" s="58">
        <v>33654.6</v>
      </c>
      <c r="G17" s="58">
        <f>G7+G8+G9+G10+G11+G12+G13+G14+G15+G16</f>
        <v>34638.6</v>
      </c>
      <c r="H17" s="58">
        <f t="shared" si="1"/>
        <v>1.0000000000000002</v>
      </c>
      <c r="I17" s="58">
        <v>32750</v>
      </c>
      <c r="J17" s="58">
        <f t="shared" si="1"/>
        <v>5181.1</v>
      </c>
      <c r="K17" s="58">
        <f t="shared" si="1"/>
        <v>1</v>
      </c>
      <c r="L17" s="58">
        <v>6297</v>
      </c>
      <c r="M17" s="14">
        <f>F17+I17+L17</f>
        <v>72701.6</v>
      </c>
      <c r="N17" s="18"/>
    </row>
    <row r="18" spans="9:13" ht="12.75">
      <c r="I18" s="18"/>
      <c r="M18" s="18"/>
    </row>
    <row r="19" spans="1:13" ht="17.25" customHeight="1">
      <c r="A19" s="145" t="s">
        <v>96</v>
      </c>
      <c r="B19" s="145"/>
      <c r="C19" s="145"/>
      <c r="D19" s="128"/>
      <c r="E19" s="147"/>
      <c r="F19" s="147"/>
      <c r="G19" s="147"/>
      <c r="K19" s="147"/>
      <c r="L19" s="147"/>
      <c r="M19" s="147"/>
    </row>
    <row r="20" ht="40.5" customHeight="1"/>
    <row r="21" ht="40.5" customHeight="1"/>
  </sheetData>
  <mergeCells count="11">
    <mergeCell ref="A19:C19"/>
    <mergeCell ref="J5:L5"/>
    <mergeCell ref="M5:M6"/>
    <mergeCell ref="E19:G19"/>
    <mergeCell ref="K19:M19"/>
    <mergeCell ref="N5:N6"/>
    <mergeCell ref="A3:I3"/>
    <mergeCell ref="A5:A6"/>
    <mergeCell ref="B5:B6"/>
    <mergeCell ref="C5:F5"/>
    <mergeCell ref="G5:I5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8"/>
  <sheetViews>
    <sheetView view="pageBreakPreview" zoomScale="75" zoomScaleNormal="85" zoomScaleSheetLayoutView="75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31" sqref="O31"/>
    </sheetView>
  </sheetViews>
  <sheetFormatPr defaultColWidth="9.00390625" defaultRowHeight="12.75"/>
  <cols>
    <col min="1" max="1" width="3.625" style="0" customWidth="1"/>
    <col min="2" max="2" width="19.00390625" style="0" customWidth="1"/>
    <col min="3" max="4" width="10.125" style="0" customWidth="1"/>
    <col min="5" max="5" width="10.00390625" style="18" bestFit="1" customWidth="1"/>
    <col min="6" max="6" width="10.625" style="18" customWidth="1"/>
    <col min="7" max="7" width="12.00390625" style="34" customWidth="1"/>
    <col min="8" max="8" width="10.875" style="34" customWidth="1"/>
    <col min="9" max="9" width="15.875" style="0" customWidth="1"/>
    <col min="10" max="10" width="9.375" style="95" bestFit="1" customWidth="1"/>
    <col min="11" max="11" width="11.125" style="46" customWidth="1"/>
    <col min="12" max="12" width="13.375" style="46" customWidth="1"/>
    <col min="13" max="13" width="16.375" style="46" customWidth="1"/>
    <col min="14" max="14" width="10.75390625" style="46" customWidth="1"/>
    <col min="15" max="15" width="9.75390625" style="31" customWidth="1"/>
    <col min="16" max="16" width="10.75390625" style="31" hidden="1" customWidth="1"/>
    <col min="17" max="17" width="0.12890625" style="108" customWidth="1"/>
    <col min="18" max="18" width="10.875" style="100" customWidth="1"/>
    <col min="19" max="19" width="9.75390625" style="95" customWidth="1"/>
    <col min="20" max="21" width="11.25390625" style="95" customWidth="1"/>
    <col min="22" max="22" width="10.875" style="95" customWidth="1"/>
    <col min="23" max="23" width="11.25390625" style="46" customWidth="1"/>
    <col min="24" max="24" width="10.625" style="95" customWidth="1"/>
  </cols>
  <sheetData>
    <row r="1" spans="1:22" ht="49.5" customHeight="1">
      <c r="A1" s="152" t="s">
        <v>162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75"/>
      <c r="O1" s="80"/>
      <c r="P1" s="80"/>
      <c r="Q1" s="104"/>
      <c r="R1" s="94"/>
      <c r="S1" s="94"/>
      <c r="T1" s="94"/>
      <c r="U1" s="94"/>
      <c r="V1" s="94"/>
    </row>
    <row r="2" spans="15:17" ht="1.5" customHeight="1">
      <c r="O2" s="27"/>
      <c r="P2" s="27"/>
      <c r="Q2" s="105"/>
    </row>
    <row r="3" spans="1:24" ht="186.75" customHeight="1">
      <c r="A3" s="2" t="s">
        <v>0</v>
      </c>
      <c r="B3" s="2" t="s">
        <v>1</v>
      </c>
      <c r="C3" s="28" t="s">
        <v>13</v>
      </c>
      <c r="D3" s="28" t="s">
        <v>152</v>
      </c>
      <c r="E3" s="25" t="s">
        <v>148</v>
      </c>
      <c r="F3" s="25" t="s">
        <v>90</v>
      </c>
      <c r="G3" s="41" t="s">
        <v>87</v>
      </c>
      <c r="H3" s="41" t="s">
        <v>104</v>
      </c>
      <c r="I3" s="2" t="s">
        <v>114</v>
      </c>
      <c r="J3" s="47" t="s">
        <v>99</v>
      </c>
      <c r="K3" s="122" t="s">
        <v>117</v>
      </c>
      <c r="L3" s="41" t="s">
        <v>122</v>
      </c>
      <c r="M3" s="2" t="s">
        <v>105</v>
      </c>
      <c r="N3" s="11" t="s">
        <v>109</v>
      </c>
      <c r="O3" s="26" t="s">
        <v>149</v>
      </c>
      <c r="P3" s="26" t="s">
        <v>150</v>
      </c>
      <c r="Q3" s="106" t="s">
        <v>151</v>
      </c>
      <c r="R3" s="57" t="s">
        <v>160</v>
      </c>
      <c r="S3" s="47">
        <v>2017</v>
      </c>
      <c r="T3" s="47" t="s">
        <v>123</v>
      </c>
      <c r="U3" s="126" t="s">
        <v>130</v>
      </c>
      <c r="V3" s="47" t="s">
        <v>154</v>
      </c>
      <c r="W3" s="96" t="s">
        <v>155</v>
      </c>
      <c r="X3" s="96" t="s">
        <v>156</v>
      </c>
    </row>
    <row r="4" spans="1:24" ht="1.5" customHeight="1">
      <c r="A4" s="17">
        <v>1</v>
      </c>
      <c r="B4" s="17">
        <v>2</v>
      </c>
      <c r="C4" s="17">
        <v>3</v>
      </c>
      <c r="D4" s="17"/>
      <c r="E4" s="43">
        <v>4</v>
      </c>
      <c r="F4" s="43" t="s">
        <v>91</v>
      </c>
      <c r="G4" s="43">
        <v>5</v>
      </c>
      <c r="H4" s="43">
        <v>6</v>
      </c>
      <c r="I4" s="17">
        <v>7</v>
      </c>
      <c r="J4" s="67">
        <v>8</v>
      </c>
      <c r="K4" s="36"/>
      <c r="L4" s="36"/>
      <c r="M4" s="36"/>
      <c r="N4" s="36"/>
      <c r="O4" s="69"/>
      <c r="P4" s="69"/>
      <c r="Q4" s="99"/>
      <c r="R4" s="117"/>
      <c r="S4" s="67"/>
      <c r="T4" s="98"/>
      <c r="U4" s="98"/>
      <c r="V4" s="98"/>
      <c r="W4" s="4"/>
      <c r="X4" s="98"/>
    </row>
    <row r="5" spans="1:24" ht="23.25" customHeight="1">
      <c r="A5" s="3">
        <v>1</v>
      </c>
      <c r="B5" s="2" t="s">
        <v>3</v>
      </c>
      <c r="C5" s="6">
        <f>'Коэф.масшт.'!C5</f>
        <v>12732</v>
      </c>
      <c r="D5" s="6">
        <f>'Налоговый потен'!M7</f>
        <v>34319.74251648658</v>
      </c>
      <c r="E5" s="8">
        <v>40721.7</v>
      </c>
      <c r="F5" s="8">
        <f>'субв от числ уточ'!D6</f>
        <v>4005.186058418428</v>
      </c>
      <c r="G5" s="5">
        <f>ИБР!S7</f>
        <v>1.1607057357756918</v>
      </c>
      <c r="H5" s="5">
        <f>БО!D6</f>
        <v>1.2706033269797083</v>
      </c>
      <c r="I5" s="8"/>
      <c r="J5" s="58"/>
      <c r="K5" s="92">
        <f>БО!G6</f>
        <v>1.2522185520385785</v>
      </c>
      <c r="L5" s="90">
        <f>E5+F5+J5</f>
        <v>44726.88605841842</v>
      </c>
      <c r="M5" s="58"/>
      <c r="N5" s="58"/>
      <c r="O5" s="14">
        <f>J5+N5</f>
        <v>0</v>
      </c>
      <c r="P5" s="14">
        <v>0</v>
      </c>
      <c r="Q5" s="107">
        <f>O5-P5</f>
        <v>0</v>
      </c>
      <c r="R5" s="58">
        <f>F5+O5</f>
        <v>4005.186058418428</v>
      </c>
      <c r="S5" s="58">
        <v>3832.2688546203644</v>
      </c>
      <c r="T5" s="70">
        <f>R5-S5</f>
        <v>172.91720379806338</v>
      </c>
      <c r="U5" s="70">
        <f>E5+R5</f>
        <v>44726.88605841842</v>
      </c>
      <c r="V5" s="58">
        <f>U5/C5*1000</f>
        <v>3512.9505229672022</v>
      </c>
      <c r="W5" s="52">
        <f>D5+R5</f>
        <v>38324.928574905</v>
      </c>
      <c r="X5" s="58">
        <f>W5/C5*1000</f>
        <v>3010.1263411015557</v>
      </c>
    </row>
    <row r="6" spans="1:24" ht="27" customHeight="1">
      <c r="A6" s="3">
        <v>2</v>
      </c>
      <c r="B6" s="2" t="s">
        <v>4</v>
      </c>
      <c r="C6" s="6">
        <f>'Коэф.масшт.'!C6</f>
        <v>7983</v>
      </c>
      <c r="D6" s="6">
        <f>'Налоговый потен'!M8</f>
        <v>4428.964005693803</v>
      </c>
      <c r="E6" s="8">
        <v>5164.7</v>
      </c>
      <c r="F6" s="8">
        <f>'субв от числ уточ'!D7</f>
        <v>2511.2629833768697</v>
      </c>
      <c r="G6" s="5">
        <f>ИБР!S8</f>
        <v>1.2671849555305024</v>
      </c>
      <c r="H6" s="5">
        <f>БО!D7</f>
        <v>0.33613592589449454</v>
      </c>
      <c r="I6" s="8">
        <f>(E15/C15)*(H16-H6)*G6*C6</f>
        <v>7386.918114534702</v>
      </c>
      <c r="J6" s="58">
        <f>I6*0.03</f>
        <v>221.60754343604106</v>
      </c>
      <c r="K6" s="92">
        <f>БО!G7</f>
        <v>0.34185007967917136</v>
      </c>
      <c r="L6" s="90">
        <f aca="true" t="shared" si="0" ref="L6:L14">E6+F6+J6</f>
        <v>7897.57052681291</v>
      </c>
      <c r="M6" s="58">
        <f>(L15/C15)*(K16-K6)*G6*C6</f>
        <v>72.87017903436653</v>
      </c>
      <c r="N6" s="58">
        <f>(3000-J15)*M6/M15</f>
        <v>19.74097184750398</v>
      </c>
      <c r="O6" s="14">
        <f aca="true" t="shared" si="1" ref="O6:O14">J6+N6</f>
        <v>241.34851528354503</v>
      </c>
      <c r="P6" s="14">
        <v>598.7887995214251</v>
      </c>
      <c r="Q6" s="107">
        <f aca="true" t="shared" si="2" ref="Q6:Q14">O6-P6</f>
        <v>-357.44028423788006</v>
      </c>
      <c r="R6" s="58">
        <f aca="true" t="shared" si="3" ref="R6:R14">F6+O6</f>
        <v>2752.611498660415</v>
      </c>
      <c r="S6" s="58">
        <v>3081.9548567315483</v>
      </c>
      <c r="T6" s="70">
        <f aca="true" t="shared" si="4" ref="T6:T15">R6-S6</f>
        <v>-329.3433580711335</v>
      </c>
      <c r="U6" s="70">
        <f aca="true" t="shared" si="5" ref="U6:U14">E6+R6</f>
        <v>7917.311498660414</v>
      </c>
      <c r="V6" s="58">
        <f aca="true" t="shared" si="6" ref="V6:V15">U6/C6*1000</f>
        <v>991.7714516673449</v>
      </c>
      <c r="W6" s="52">
        <f aca="true" t="shared" si="7" ref="W6:W14">D6+R6</f>
        <v>7181.575504354218</v>
      </c>
      <c r="X6" s="58">
        <f aca="true" t="shared" si="8" ref="X6:X15">W6/C6*1000</f>
        <v>899.6086063327343</v>
      </c>
    </row>
    <row r="7" spans="1:24" ht="25.5">
      <c r="A7" s="3">
        <v>3</v>
      </c>
      <c r="B7" s="2" t="s">
        <v>5</v>
      </c>
      <c r="C7" s="6">
        <f>'Коэф.масшт.'!C7</f>
        <v>1762</v>
      </c>
      <c r="D7" s="6">
        <f>'Налоговый потен'!M9</f>
        <v>1447.0291695460994</v>
      </c>
      <c r="E7" s="8">
        <v>1915.3</v>
      </c>
      <c r="F7" s="8">
        <f>'субв от числ уточ'!D8</f>
        <v>554.2835245784848</v>
      </c>
      <c r="G7" s="5">
        <f>ИБР!S9</f>
        <v>3.6927111806446784</v>
      </c>
      <c r="H7" s="5">
        <f>БО!D8</f>
        <v>0.15069925286631847</v>
      </c>
      <c r="I7" s="8">
        <f>(E15/C15)*(H16-H7)*G7*C7</f>
        <v>7094.796057055897</v>
      </c>
      <c r="J7" s="58">
        <f aca="true" t="shared" si="9" ref="J7:J12">I7*0.03</f>
        <v>212.84388171167691</v>
      </c>
      <c r="K7" s="92">
        <f>БО!G8</f>
        <v>0.16431402106910944</v>
      </c>
      <c r="L7" s="90">
        <f t="shared" si="0"/>
        <v>2682.427406290162</v>
      </c>
      <c r="M7" s="58">
        <f>(L15/C15)*(K16-K7)*G7*C7</f>
        <v>2688.5605965741697</v>
      </c>
      <c r="N7" s="58">
        <f>(3000-J15)*M7/M15</f>
        <v>728.3473123106837</v>
      </c>
      <c r="O7" s="14">
        <f t="shared" si="1"/>
        <v>941.1911940223606</v>
      </c>
      <c r="P7" s="14">
        <v>1626.7589590847494</v>
      </c>
      <c r="Q7" s="107">
        <f t="shared" si="2"/>
        <v>-685.5677650623888</v>
      </c>
      <c r="R7" s="58">
        <f t="shared" si="3"/>
        <v>1495.4747186008453</v>
      </c>
      <c r="S7" s="58">
        <v>2158.6514466656795</v>
      </c>
      <c r="T7" s="70">
        <f t="shared" si="4"/>
        <v>-663.1767280648342</v>
      </c>
      <c r="U7" s="70">
        <f t="shared" si="5"/>
        <v>3410.7747186008455</v>
      </c>
      <c r="V7" s="58">
        <f t="shared" si="6"/>
        <v>1935.7404759369156</v>
      </c>
      <c r="W7" s="52">
        <f t="shared" si="7"/>
        <v>2942.5038881469445</v>
      </c>
      <c r="X7" s="58">
        <f t="shared" si="8"/>
        <v>1669.9795051912286</v>
      </c>
    </row>
    <row r="8" spans="1:24" ht="25.5">
      <c r="A8" s="3">
        <v>4</v>
      </c>
      <c r="B8" s="2" t="s">
        <v>6</v>
      </c>
      <c r="C8" s="6">
        <f>'Коэф.масшт.'!C8</f>
        <v>1484</v>
      </c>
      <c r="D8" s="6">
        <f>'Налоговый потен'!M10</f>
        <v>3599.4428231436423</v>
      </c>
      <c r="E8" s="8">
        <v>3967</v>
      </c>
      <c r="F8" s="8">
        <f>'субв от числ уточ'!D9</f>
        <v>466.83129992875797</v>
      </c>
      <c r="G8" s="5">
        <f>ИБР!S10</f>
        <v>3.922341840078691</v>
      </c>
      <c r="H8" s="5">
        <f>БО!D9</f>
        <v>0.34226674581303446</v>
      </c>
      <c r="I8" s="8">
        <f>(E15/C15)*(H16-H8)*G8*C8</f>
        <v>4181.151032946788</v>
      </c>
      <c r="J8" s="58">
        <f t="shared" si="9"/>
        <v>125.43453098840365</v>
      </c>
      <c r="K8" s="92">
        <f>БО!G9</f>
        <v>0.3477196932060505</v>
      </c>
      <c r="L8" s="90">
        <f t="shared" si="0"/>
        <v>4559.265830917162</v>
      </c>
      <c r="M8" s="58"/>
      <c r="N8" s="58">
        <f>(3000-J15)*M8/M15</f>
        <v>0</v>
      </c>
      <c r="O8" s="14">
        <f t="shared" si="1"/>
        <v>125.43453098840365</v>
      </c>
      <c r="P8" s="14">
        <v>105.02684034753548</v>
      </c>
      <c r="Q8" s="107">
        <f t="shared" si="2"/>
        <v>20.407690640868168</v>
      </c>
      <c r="R8" s="58">
        <f t="shared" si="3"/>
        <v>592.2658309171616</v>
      </c>
      <c r="S8" s="58">
        <v>551.0236467042158</v>
      </c>
      <c r="T8" s="70">
        <f t="shared" si="4"/>
        <v>41.242184212945745</v>
      </c>
      <c r="U8" s="70">
        <f t="shared" si="5"/>
        <v>4559.265830917162</v>
      </c>
      <c r="V8" s="58">
        <f t="shared" si="6"/>
        <v>3072.2815572218074</v>
      </c>
      <c r="W8" s="52">
        <f t="shared" si="7"/>
        <v>4191.708654060803</v>
      </c>
      <c r="X8" s="58">
        <f t="shared" si="8"/>
        <v>2824.601518908897</v>
      </c>
    </row>
    <row r="9" spans="1:24" ht="25.5">
      <c r="A9" s="3">
        <v>5</v>
      </c>
      <c r="B9" s="2" t="s">
        <v>7</v>
      </c>
      <c r="C9" s="6">
        <f>'Коэф.масшт.'!C9</f>
        <v>2313</v>
      </c>
      <c r="D9" s="6">
        <f>'Налоговый потен'!M11</f>
        <v>2044.5277009491695</v>
      </c>
      <c r="E9" s="8">
        <v>3856.3</v>
      </c>
      <c r="F9" s="8">
        <f>'субв от числ уточ'!D10</f>
        <v>727.6150921396343</v>
      </c>
      <c r="G9" s="5">
        <f>ИБР!S11</f>
        <v>2.539023260955446</v>
      </c>
      <c r="H9" s="5">
        <f>БО!D10</f>
        <v>0.23127073422613956</v>
      </c>
      <c r="I9" s="8">
        <f>(E15/C15)*(H16-H9)*G9*C9</f>
        <v>5484.628683739904</v>
      </c>
      <c r="J9" s="58">
        <f t="shared" si="9"/>
        <v>164.53886051219712</v>
      </c>
      <c r="K9" s="92">
        <f>БО!G10</f>
        <v>0.24145271754919156</v>
      </c>
      <c r="L9" s="90">
        <f t="shared" si="0"/>
        <v>4748.453952651831</v>
      </c>
      <c r="M9" s="58">
        <f>(L15/C15)*(K16-K9)*G9*C9</f>
        <v>1390.6734033258876</v>
      </c>
      <c r="N9" s="58">
        <f>(3000-J15)*M9/M15</f>
        <v>376.74182865917743</v>
      </c>
      <c r="O9" s="14">
        <f t="shared" si="1"/>
        <v>541.2806891713745</v>
      </c>
      <c r="P9" s="14">
        <v>944.3676251927178</v>
      </c>
      <c r="Q9" s="107">
        <f t="shared" si="2"/>
        <v>-403.08693602134326</v>
      </c>
      <c r="R9" s="58">
        <f t="shared" si="3"/>
        <v>1268.8957813110087</v>
      </c>
      <c r="S9" s="58">
        <v>1636.9390968819466</v>
      </c>
      <c r="T9" s="70">
        <f t="shared" si="4"/>
        <v>-368.0433155709379</v>
      </c>
      <c r="U9" s="70">
        <f t="shared" si="5"/>
        <v>5125.195781311009</v>
      </c>
      <c r="V9" s="58">
        <f t="shared" si="6"/>
        <v>2215.82178180329</v>
      </c>
      <c r="W9" s="52">
        <f t="shared" si="7"/>
        <v>3313.4234822601784</v>
      </c>
      <c r="X9" s="58">
        <f t="shared" si="8"/>
        <v>1432.5220416170248</v>
      </c>
    </row>
    <row r="10" spans="1:24" ht="25.5">
      <c r="A10" s="3">
        <v>6</v>
      </c>
      <c r="B10" s="2" t="s">
        <v>8</v>
      </c>
      <c r="C10" s="6">
        <f>'Коэф.масшт.'!C10</f>
        <v>2553</v>
      </c>
      <c r="D10" s="6">
        <f>'Налоговый потен'!M12</f>
        <v>2851.0701936815444</v>
      </c>
      <c r="E10" s="8">
        <v>2537.9</v>
      </c>
      <c r="F10" s="8">
        <f>'субв от числ уточ'!D11</f>
        <v>803.1134155782474</v>
      </c>
      <c r="G10" s="5">
        <f>ИБР!S12</f>
        <v>2.0109527770289635</v>
      </c>
      <c r="H10" s="5">
        <f>БО!D11</f>
        <v>0.34872659777053133</v>
      </c>
      <c r="I10" s="8">
        <f>(E15/C15)*(H16-H10)*G10*C10</f>
        <v>3623.3985822708573</v>
      </c>
      <c r="J10" s="58">
        <f t="shared" si="9"/>
        <v>108.70195746812571</v>
      </c>
      <c r="K10" s="92">
        <f>БО!G11</f>
        <v>0.35390432021111023</v>
      </c>
      <c r="L10" s="90">
        <f t="shared" si="0"/>
        <v>3449.7153730463733</v>
      </c>
      <c r="M10" s="58"/>
      <c r="N10" s="58">
        <f>(5400-J15)*M10/M15</f>
        <v>0</v>
      </c>
      <c r="O10" s="14">
        <f t="shared" si="1"/>
        <v>108.70195746812571</v>
      </c>
      <c r="P10" s="14">
        <v>328.70116160045086</v>
      </c>
      <c r="Q10" s="107">
        <f t="shared" si="2"/>
        <v>-219.99920413232513</v>
      </c>
      <c r="R10" s="58">
        <f t="shared" si="3"/>
        <v>911.8153730463731</v>
      </c>
      <c r="S10" s="58">
        <v>1096.3562707234644</v>
      </c>
      <c r="T10" s="70">
        <f t="shared" si="4"/>
        <v>-184.54089767709127</v>
      </c>
      <c r="U10" s="70">
        <f t="shared" si="5"/>
        <v>3449.7153730463733</v>
      </c>
      <c r="V10" s="58">
        <f t="shared" si="6"/>
        <v>1351.239864099637</v>
      </c>
      <c r="W10" s="52">
        <f t="shared" si="7"/>
        <v>3762.8855667279176</v>
      </c>
      <c r="X10" s="58">
        <f t="shared" si="8"/>
        <v>1473.907390022686</v>
      </c>
    </row>
    <row r="11" spans="1:24" ht="25.5">
      <c r="A11" s="3">
        <v>7</v>
      </c>
      <c r="B11" s="2" t="s">
        <v>9</v>
      </c>
      <c r="C11" s="6">
        <f>'Коэф.масшт.'!C11</f>
        <v>3314</v>
      </c>
      <c r="D11" s="6">
        <f>'Налоговый потен'!M13</f>
        <v>2789.792831463898</v>
      </c>
      <c r="E11" s="8">
        <v>1979.3</v>
      </c>
      <c r="F11" s="8">
        <f>'субв от числ уточ'!D12</f>
        <v>1042.5060161481833</v>
      </c>
      <c r="G11" s="5">
        <f>ИБР!S13</f>
        <v>2.1934237639024747</v>
      </c>
      <c r="H11" s="5">
        <f>БО!D12</f>
        <v>0.2583043468117592</v>
      </c>
      <c r="I11" s="8">
        <f>(E15/C15)*(H16-H11)*G11*C11</f>
        <v>6406.911370665978</v>
      </c>
      <c r="J11" s="58">
        <f t="shared" si="9"/>
        <v>192.20734111997933</v>
      </c>
      <c r="K11" s="92">
        <f>БО!G12</f>
        <v>0.26733455068428574</v>
      </c>
      <c r="L11" s="90">
        <f t="shared" si="0"/>
        <v>3214.013357268163</v>
      </c>
      <c r="M11" s="58">
        <f>(L15/C15)*(K16-K11)*G11*C11</f>
        <v>1291.0618210513371</v>
      </c>
      <c r="N11" s="58">
        <f>(3000-J15)*M11/M15</f>
        <v>349.7564490783226</v>
      </c>
      <c r="O11" s="58">
        <f t="shared" si="1"/>
        <v>541.9637901983019</v>
      </c>
      <c r="P11" s="14">
        <v>756.1343945980435</v>
      </c>
      <c r="Q11" s="107">
        <f t="shared" si="2"/>
        <v>-214.1706043997416</v>
      </c>
      <c r="R11" s="58">
        <f t="shared" si="3"/>
        <v>1584.4698063464853</v>
      </c>
      <c r="S11" s="58">
        <v>1754.1461033679082</v>
      </c>
      <c r="T11" s="70">
        <f t="shared" si="4"/>
        <v>-169.6762970214229</v>
      </c>
      <c r="U11" s="70">
        <f t="shared" si="5"/>
        <v>3563.769806346485</v>
      </c>
      <c r="V11" s="58">
        <f t="shared" si="6"/>
        <v>1075.3680767490903</v>
      </c>
      <c r="W11" s="52">
        <f t="shared" si="7"/>
        <v>4374.262637810383</v>
      </c>
      <c r="X11" s="58">
        <f t="shared" si="8"/>
        <v>1319.9344109264885</v>
      </c>
    </row>
    <row r="12" spans="1:24" ht="36" customHeight="1">
      <c r="A12" s="3">
        <v>8</v>
      </c>
      <c r="B12" s="2" t="s">
        <v>10</v>
      </c>
      <c r="C12" s="6">
        <f>'Коэф.масшт.'!C12</f>
        <v>2540</v>
      </c>
      <c r="D12" s="6">
        <f>'Налоговый потен'!M14</f>
        <v>1842.2079783587797</v>
      </c>
      <c r="E12" s="8">
        <v>1678.3</v>
      </c>
      <c r="F12" s="8">
        <f>'субв от числ уточ'!D13</f>
        <v>799.0239230586559</v>
      </c>
      <c r="G12" s="5">
        <f>ИБР!S14</f>
        <v>2.0163430864160823</v>
      </c>
      <c r="H12" s="5">
        <f>БО!D13</f>
        <v>0.25267122248544144</v>
      </c>
      <c r="I12" s="8">
        <f>(E15/C15)*(H16-H12)*G12*C12</f>
        <v>4570.143410966633</v>
      </c>
      <c r="J12" s="58">
        <f t="shared" si="9"/>
        <v>137.10430232899898</v>
      </c>
      <c r="K12" s="92">
        <f>БО!G13</f>
        <v>0.26194142820088706</v>
      </c>
      <c r="L12" s="90">
        <f t="shared" si="0"/>
        <v>2614.428225387655</v>
      </c>
      <c r="M12" s="58">
        <f>(L15/C15)*(K16-K12)*G12*C12</f>
        <v>972.8071122910735</v>
      </c>
      <c r="N12" s="58">
        <f>(3000-J15)*M12/M15</f>
        <v>263.5393252942715</v>
      </c>
      <c r="O12" s="14">
        <f t="shared" si="1"/>
        <v>400.6436276232705</v>
      </c>
      <c r="P12" s="14">
        <v>903.1279438220481</v>
      </c>
      <c r="Q12" s="107">
        <f t="shared" si="2"/>
        <v>-502.4843161987776</v>
      </c>
      <c r="R12" s="58">
        <f t="shared" si="3"/>
        <v>1199.6675506819265</v>
      </c>
      <c r="S12" s="58">
        <v>1670.1823838455912</v>
      </c>
      <c r="T12" s="70">
        <f t="shared" si="4"/>
        <v>-470.51483316366466</v>
      </c>
      <c r="U12" s="70">
        <f t="shared" si="5"/>
        <v>2877.9675506819267</v>
      </c>
      <c r="V12" s="58">
        <f t="shared" si="6"/>
        <v>1133.0580908196562</v>
      </c>
      <c r="W12" s="52">
        <f t="shared" si="7"/>
        <v>3041.875529040706</v>
      </c>
      <c r="X12" s="58">
        <f t="shared" si="8"/>
        <v>1197.588790960908</v>
      </c>
    </row>
    <row r="13" spans="1:24" ht="25.5">
      <c r="A13" s="3">
        <v>9</v>
      </c>
      <c r="B13" s="2" t="s">
        <v>11</v>
      </c>
      <c r="C13" s="6">
        <f>'Коэф.масшт.'!C13</f>
        <v>2747</v>
      </c>
      <c r="D13" s="6">
        <f>'Налоговый потен'!M15</f>
        <v>3221.3895870920364</v>
      </c>
      <c r="E13" s="8">
        <v>3668.1</v>
      </c>
      <c r="F13" s="8">
        <f>'субв от числ уточ'!D14</f>
        <v>864.1412270244598</v>
      </c>
      <c r="G13" s="5">
        <f>ИБР!S15</f>
        <v>1.895590644339279</v>
      </c>
      <c r="H13" s="5">
        <f>БО!D14</f>
        <v>0.384408222751853</v>
      </c>
      <c r="I13" s="8">
        <f>(E15/C15)*(H16-H13)*G13*C13</f>
        <v>3314.1898414872753</v>
      </c>
      <c r="J13" s="58">
        <f>I13*0.03+0.01</f>
        <v>99.43569524461826</v>
      </c>
      <c r="K13" s="92">
        <f>БО!G14</f>
        <v>0.38806664049875006</v>
      </c>
      <c r="L13" s="90">
        <f t="shared" si="0"/>
        <v>4631.676922269077</v>
      </c>
      <c r="M13" s="58"/>
      <c r="N13" s="58">
        <f>(5400-J15)*M13/M15</f>
        <v>0</v>
      </c>
      <c r="O13" s="14">
        <f>J13+N13</f>
        <v>99.43569524461826</v>
      </c>
      <c r="P13" s="14">
        <v>137.09427583302926</v>
      </c>
      <c r="Q13" s="107">
        <f t="shared" si="2"/>
        <v>-37.658580588411</v>
      </c>
      <c r="R13" s="58">
        <f>F13+O13</f>
        <v>963.5769222690781</v>
      </c>
      <c r="S13" s="58">
        <v>970.8229858977732</v>
      </c>
      <c r="T13" s="70">
        <f t="shared" si="4"/>
        <v>-7.246063628695083</v>
      </c>
      <c r="U13" s="70">
        <f t="shared" si="5"/>
        <v>4631.676922269078</v>
      </c>
      <c r="V13" s="58">
        <f t="shared" si="6"/>
        <v>1686.0855195737452</v>
      </c>
      <c r="W13" s="52">
        <f t="shared" si="7"/>
        <v>4184.966509361115</v>
      </c>
      <c r="X13" s="58">
        <f t="shared" si="8"/>
        <v>1523.4679684605442</v>
      </c>
    </row>
    <row r="14" spans="1:24" ht="25.5">
      <c r="A14" s="4">
        <v>10</v>
      </c>
      <c r="B14" s="2" t="s">
        <v>12</v>
      </c>
      <c r="C14" s="6">
        <f>'Коэф.масшт.'!C14</f>
        <v>4682</v>
      </c>
      <c r="D14" s="6">
        <f>'Налоговый потен'!M16</f>
        <v>16157.433193584442</v>
      </c>
      <c r="E14" s="8">
        <v>16303.4</v>
      </c>
      <c r="F14" s="8">
        <f>'субв от числ уточ'!D15</f>
        <v>1472.8464597482782</v>
      </c>
      <c r="G14" s="5">
        <f>ИБР!S16</f>
        <v>1.542856521239024</v>
      </c>
      <c r="H14" s="5">
        <f>БО!D15</f>
        <v>1.1957754858439305</v>
      </c>
      <c r="I14" s="8"/>
      <c r="J14" s="58"/>
      <c r="K14" s="92">
        <f>БО!G15</f>
        <v>1.1784734193999378</v>
      </c>
      <c r="L14" s="90">
        <f t="shared" si="0"/>
        <v>17776.24645974828</v>
      </c>
      <c r="M14" s="58"/>
      <c r="N14" s="58"/>
      <c r="O14" s="14">
        <f t="shared" si="1"/>
        <v>0</v>
      </c>
      <c r="P14" s="14">
        <v>0</v>
      </c>
      <c r="Q14" s="107">
        <f t="shared" si="2"/>
        <v>0</v>
      </c>
      <c r="R14" s="58">
        <f t="shared" si="3"/>
        <v>1472.8464597482782</v>
      </c>
      <c r="S14" s="58">
        <v>1404.3643545615066</v>
      </c>
      <c r="T14" s="70">
        <f t="shared" si="4"/>
        <v>68.4821051867716</v>
      </c>
      <c r="U14" s="70">
        <f t="shared" si="5"/>
        <v>17776.24645974828</v>
      </c>
      <c r="V14" s="58">
        <f t="shared" si="6"/>
        <v>3796.7207304033063</v>
      </c>
      <c r="W14" s="52">
        <f t="shared" si="7"/>
        <v>17630.27965333272</v>
      </c>
      <c r="X14" s="58">
        <f t="shared" si="8"/>
        <v>3765.544565000581</v>
      </c>
    </row>
    <row r="15" spans="1:24" ht="12.75">
      <c r="A15" s="3"/>
      <c r="B15" s="11" t="s">
        <v>15</v>
      </c>
      <c r="C15" s="14">
        <f>SUM(C5:C14)</f>
        <v>42110</v>
      </c>
      <c r="D15" s="14">
        <f>SUM(D5:D14)</f>
        <v>72701.59999999999</v>
      </c>
      <c r="E15" s="14">
        <f>SUM(E5:E14)</f>
        <v>81792</v>
      </c>
      <c r="F15" s="14">
        <f>SUM(F5:F14)</f>
        <v>13246.81</v>
      </c>
      <c r="G15" s="8"/>
      <c r="H15" s="14"/>
      <c r="I15" s="14">
        <f>SUM(I6:I14)</f>
        <v>42062.13709366804</v>
      </c>
      <c r="J15" s="14">
        <f>SUM(J6:J14)</f>
        <v>1261.874112810041</v>
      </c>
      <c r="K15" s="58"/>
      <c r="L15" s="76">
        <f>SUM(L5:L14)</f>
        <v>96300.68411281004</v>
      </c>
      <c r="M15" s="14">
        <f>SUM(M6:M14)</f>
        <v>6415.9731122768335</v>
      </c>
      <c r="N15" s="14">
        <f>SUM(N6:N14)</f>
        <v>1738.1258871899593</v>
      </c>
      <c r="O15" s="14">
        <f>SUM(O5:O14)</f>
        <v>3000.0000000000005</v>
      </c>
      <c r="P15" s="14">
        <v>5400</v>
      </c>
      <c r="Q15" s="14">
        <f>SUM(Q5:Q14)</f>
        <v>-2399.9999999999995</v>
      </c>
      <c r="R15" s="14">
        <f>SUM(R5:R14)</f>
        <v>16246.809999999998</v>
      </c>
      <c r="S15" s="14">
        <v>18156.71</v>
      </c>
      <c r="T15" s="70">
        <f t="shared" si="4"/>
        <v>-1909.9000000000015</v>
      </c>
      <c r="U15" s="58">
        <f>E15+R15</f>
        <v>98038.81</v>
      </c>
      <c r="V15" s="58">
        <f t="shared" si="6"/>
        <v>2328.159819520304</v>
      </c>
      <c r="W15" s="58">
        <f>SUM(W5:W14)</f>
        <v>88948.40999999999</v>
      </c>
      <c r="X15" s="58">
        <f t="shared" si="8"/>
        <v>2112.287105200665</v>
      </c>
    </row>
    <row r="16" spans="1:24" ht="38.25">
      <c r="A16" s="3"/>
      <c r="B16" s="2"/>
      <c r="C16" s="9"/>
      <c r="D16" s="9"/>
      <c r="E16" s="14"/>
      <c r="F16" s="14"/>
      <c r="G16" s="5" t="s">
        <v>98</v>
      </c>
      <c r="H16" s="5">
        <f>БО!D17</f>
        <v>0.7120871999790241</v>
      </c>
      <c r="I16" s="8"/>
      <c r="J16" s="57" t="s">
        <v>127</v>
      </c>
      <c r="K16" s="93">
        <v>0.345</v>
      </c>
      <c r="L16" s="93"/>
      <c r="M16" s="52"/>
      <c r="N16" s="52">
        <f>N17-J15</f>
        <v>-1261.874112810041</v>
      </c>
      <c r="O16" s="14"/>
      <c r="P16" s="14"/>
      <c r="Q16" s="107"/>
      <c r="R16" s="58"/>
      <c r="S16" s="98"/>
      <c r="T16" s="98"/>
      <c r="U16" s="58">
        <f>E15+F15+O15</f>
        <v>98038.81</v>
      </c>
      <c r="V16" s="98"/>
      <c r="W16" s="4"/>
      <c r="X16" s="58"/>
    </row>
    <row r="17" spans="2:17" ht="12.75">
      <c r="B17" s="1"/>
      <c r="C17" s="18"/>
      <c r="D17" s="18"/>
      <c r="H17" s="42"/>
      <c r="I17" s="18"/>
      <c r="J17" s="100"/>
      <c r="K17" s="45" t="s">
        <v>118</v>
      </c>
      <c r="L17" s="45"/>
      <c r="M17" s="45"/>
      <c r="N17" s="45"/>
      <c r="O17" s="27"/>
      <c r="P17" s="27"/>
      <c r="Q17" s="105"/>
    </row>
    <row r="18" spans="2:5" ht="12.75">
      <c r="B18" s="149" t="s">
        <v>96</v>
      </c>
      <c r="C18" s="149"/>
      <c r="D18" s="149"/>
      <c r="E18" s="149"/>
    </row>
  </sheetData>
  <mergeCells count="2">
    <mergeCell ref="A1:M1"/>
    <mergeCell ref="B18:E18"/>
  </mergeCells>
  <printOptions/>
  <pageMargins left="0.75" right="0.75" top="1" bottom="1" header="0.5" footer="0.5"/>
  <pageSetup horizontalDpi="600" verticalDpi="600" orientation="landscape" paperSize="9" scale="71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G26" sqref="G26"/>
    </sheetView>
  </sheetViews>
  <sheetFormatPr defaultColWidth="9.00390625" defaultRowHeight="12.75"/>
  <cols>
    <col min="1" max="1" width="5.625" style="0" customWidth="1"/>
    <col min="2" max="2" width="26.625" style="0" customWidth="1"/>
    <col min="3" max="3" width="10.25390625" style="7" customWidth="1"/>
    <col min="4" max="4" width="10.625" style="27" customWidth="1"/>
    <col min="5" max="5" width="12.375" style="0" customWidth="1"/>
    <col min="6" max="6" width="11.25390625" style="79" customWidth="1"/>
    <col min="7" max="7" width="10.875" style="27" customWidth="1"/>
    <col min="8" max="8" width="13.375" style="0" customWidth="1"/>
    <col min="9" max="9" width="14.375" style="18" customWidth="1"/>
    <col min="10" max="10" width="11.75390625" style="0" customWidth="1"/>
    <col min="11" max="11" width="13.00390625" style="0" customWidth="1"/>
  </cols>
  <sheetData>
    <row r="2" spans="1:10" ht="12.75">
      <c r="A2" s="170" t="s">
        <v>157</v>
      </c>
      <c r="B2" s="170"/>
      <c r="C2" s="170"/>
      <c r="D2" s="170"/>
      <c r="E2" s="170"/>
      <c r="F2" s="170"/>
      <c r="G2" s="170"/>
      <c r="H2" s="170"/>
      <c r="I2" s="74"/>
      <c r="J2" s="20"/>
    </row>
    <row r="3" spans="1:11" ht="12.75">
      <c r="A3" s="141" t="s">
        <v>0</v>
      </c>
      <c r="B3" s="141" t="s">
        <v>1</v>
      </c>
      <c r="C3" s="137" t="s">
        <v>61</v>
      </c>
      <c r="D3" s="137"/>
      <c r="E3" s="137"/>
      <c r="F3" s="137" t="s">
        <v>89</v>
      </c>
      <c r="G3" s="137"/>
      <c r="H3" s="137"/>
      <c r="I3" s="168" t="s">
        <v>124</v>
      </c>
      <c r="J3" s="169"/>
      <c r="K3" s="3"/>
    </row>
    <row r="4" spans="1:11" ht="54.75" customHeight="1">
      <c r="A4" s="141"/>
      <c r="B4" s="141"/>
      <c r="C4" s="57" t="s">
        <v>133</v>
      </c>
      <c r="D4" s="57" t="s">
        <v>134</v>
      </c>
      <c r="E4" s="47" t="s">
        <v>88</v>
      </c>
      <c r="F4" s="57" t="s">
        <v>133</v>
      </c>
      <c r="G4" s="57" t="s">
        <v>134</v>
      </c>
      <c r="H4" s="47" t="s">
        <v>88</v>
      </c>
      <c r="I4" s="57" t="s">
        <v>161</v>
      </c>
      <c r="J4" s="30" t="s">
        <v>133</v>
      </c>
      <c r="K4" s="47" t="s">
        <v>88</v>
      </c>
    </row>
    <row r="5" spans="1:11" ht="25.5">
      <c r="A5" s="3">
        <v>1</v>
      </c>
      <c r="B5" s="2" t="s">
        <v>3</v>
      </c>
      <c r="C5" s="101">
        <v>3832.2688546203644</v>
      </c>
      <c r="D5" s="101">
        <f>'субв от числ уточ'!D6</f>
        <v>4005.186058418428</v>
      </c>
      <c r="E5" s="90">
        <f aca="true" t="shared" si="0" ref="E5:E15">D5-C5</f>
        <v>172.91720379806338</v>
      </c>
      <c r="F5" s="101">
        <v>0</v>
      </c>
      <c r="G5" s="101">
        <f>'Дотации '!O5</f>
        <v>0</v>
      </c>
      <c r="H5" s="101"/>
      <c r="I5" s="101">
        <f>D5+G5</f>
        <v>4005.186058418428</v>
      </c>
      <c r="J5" s="78">
        <f>C5+F5</f>
        <v>3832.2688546203644</v>
      </c>
      <c r="K5" s="77">
        <f aca="true" t="shared" si="1" ref="K5:K14">I5-J5</f>
        <v>172.91720379806338</v>
      </c>
    </row>
    <row r="6" spans="1:11" ht="25.5">
      <c r="A6" s="3">
        <v>2</v>
      </c>
      <c r="B6" s="2" t="s">
        <v>4</v>
      </c>
      <c r="C6" s="101">
        <v>2483.166057210123</v>
      </c>
      <c r="D6" s="101">
        <f>'субв от числ уточ'!D7</f>
        <v>2511.2629833768697</v>
      </c>
      <c r="E6" s="90">
        <f t="shared" si="0"/>
        <v>28.09692616674647</v>
      </c>
      <c r="F6" s="101">
        <v>598.7887995214251</v>
      </c>
      <c r="G6" s="101">
        <f>'Дотации '!O6</f>
        <v>241.34851528354503</v>
      </c>
      <c r="H6" s="90">
        <f aca="true" t="shared" si="2" ref="H6:H14">G6-F6</f>
        <v>-357.44028423788006</v>
      </c>
      <c r="I6" s="101">
        <f>D6+G6+0.01</f>
        <v>2752.621498660415</v>
      </c>
      <c r="J6" s="78">
        <f aca="true" t="shared" si="3" ref="J6:J14">C6+F6</f>
        <v>3081.9548567315483</v>
      </c>
      <c r="K6" s="77">
        <f t="shared" si="1"/>
        <v>-329.33335807113326</v>
      </c>
    </row>
    <row r="7" spans="1:11" ht="25.5">
      <c r="A7" s="3">
        <v>3</v>
      </c>
      <c r="B7" s="2" t="s">
        <v>5</v>
      </c>
      <c r="C7" s="101">
        <v>531.8924875809299</v>
      </c>
      <c r="D7" s="101">
        <f>'субв от числ уточ'!D8</f>
        <v>554.2835245784848</v>
      </c>
      <c r="E7" s="90">
        <f t="shared" si="0"/>
        <v>22.39103699755492</v>
      </c>
      <c r="F7" s="101">
        <v>1626.7589590847494</v>
      </c>
      <c r="G7" s="101">
        <f>'Дотации '!O7</f>
        <v>941.1911940223606</v>
      </c>
      <c r="H7" s="90">
        <f t="shared" si="2"/>
        <v>-685.5677650623888</v>
      </c>
      <c r="I7" s="101">
        <f aca="true" t="shared" si="4" ref="I7:I15">D7+G7</f>
        <v>1495.4747186008453</v>
      </c>
      <c r="J7" s="78">
        <f t="shared" si="3"/>
        <v>2158.6514466656795</v>
      </c>
      <c r="K7" s="77">
        <f t="shared" si="1"/>
        <v>-663.1767280648342</v>
      </c>
    </row>
    <row r="8" spans="1:11" ht="25.5">
      <c r="A8" s="3">
        <v>4</v>
      </c>
      <c r="B8" s="2" t="s">
        <v>6</v>
      </c>
      <c r="C8" s="101">
        <v>445.99680635668034</v>
      </c>
      <c r="D8" s="101">
        <f>'субв от числ уточ'!D9</f>
        <v>466.83129992875797</v>
      </c>
      <c r="E8" s="90">
        <f t="shared" si="0"/>
        <v>20.834493572077633</v>
      </c>
      <c r="F8" s="101">
        <v>105.02684034753548</v>
      </c>
      <c r="G8" s="101">
        <f>'Дотации '!O8</f>
        <v>125.43453098840365</v>
      </c>
      <c r="H8" s="90">
        <f t="shared" si="2"/>
        <v>20.407690640868168</v>
      </c>
      <c r="I8" s="101">
        <f t="shared" si="4"/>
        <v>592.2658309171616</v>
      </c>
      <c r="J8" s="78">
        <f t="shared" si="3"/>
        <v>551.0236467042158</v>
      </c>
      <c r="K8" s="77">
        <f t="shared" si="1"/>
        <v>41.242184212945745</v>
      </c>
    </row>
    <row r="9" spans="1:11" ht="25.5">
      <c r="A9" s="3">
        <v>5</v>
      </c>
      <c r="B9" s="2" t="s">
        <v>7</v>
      </c>
      <c r="C9" s="101">
        <v>692.5714716892289</v>
      </c>
      <c r="D9" s="101">
        <f>'субв от числ уточ'!D10</f>
        <v>727.6150921396343</v>
      </c>
      <c r="E9" s="90">
        <f t="shared" si="0"/>
        <v>35.04362045040534</v>
      </c>
      <c r="F9" s="101">
        <v>944.3676251927178</v>
      </c>
      <c r="G9" s="101">
        <f>'Дотации '!O9</f>
        <v>541.2806891713745</v>
      </c>
      <c r="H9" s="90">
        <f t="shared" si="2"/>
        <v>-403.08693602134326</v>
      </c>
      <c r="I9" s="101">
        <f t="shared" si="4"/>
        <v>1268.8957813110087</v>
      </c>
      <c r="J9" s="78">
        <f t="shared" si="3"/>
        <v>1636.9390968819466</v>
      </c>
      <c r="K9" s="77">
        <f t="shared" si="1"/>
        <v>-368.0433155709379</v>
      </c>
    </row>
    <row r="10" spans="1:11" ht="25.5">
      <c r="A10" s="3">
        <v>6</v>
      </c>
      <c r="B10" s="2" t="s">
        <v>8</v>
      </c>
      <c r="C10" s="101">
        <v>767.6551091230135</v>
      </c>
      <c r="D10" s="101">
        <f>'субв от числ уточ'!D11</f>
        <v>803.1134155782474</v>
      </c>
      <c r="E10" s="90">
        <f t="shared" si="0"/>
        <v>35.458306455233924</v>
      </c>
      <c r="F10" s="101">
        <v>328.70116160045086</v>
      </c>
      <c r="G10" s="101">
        <f>'Дотации '!O10</f>
        <v>108.70195746812571</v>
      </c>
      <c r="H10" s="90">
        <f t="shared" si="2"/>
        <v>-219.99920413232513</v>
      </c>
      <c r="I10" s="101">
        <f t="shared" si="4"/>
        <v>911.8153730463731</v>
      </c>
      <c r="J10" s="78">
        <f t="shared" si="3"/>
        <v>1096.3562707234644</v>
      </c>
      <c r="K10" s="77">
        <f t="shared" si="1"/>
        <v>-184.54089767709127</v>
      </c>
    </row>
    <row r="11" spans="1:11" ht="25.5">
      <c r="A11" s="3">
        <v>7</v>
      </c>
      <c r="B11" s="2" t="s">
        <v>9</v>
      </c>
      <c r="C11" s="101">
        <v>998.0117087698646</v>
      </c>
      <c r="D11" s="101">
        <f>'субв от числ уточ'!D12</f>
        <v>1042.5060161481833</v>
      </c>
      <c r="E11" s="90">
        <f t="shared" si="0"/>
        <v>44.494307378318695</v>
      </c>
      <c r="F11" s="101">
        <v>756.1343945980435</v>
      </c>
      <c r="G11" s="101">
        <f>'Дотации '!O11</f>
        <v>541.9637901983019</v>
      </c>
      <c r="H11" s="90">
        <f t="shared" si="2"/>
        <v>-214.1706043997416</v>
      </c>
      <c r="I11" s="101">
        <f t="shared" si="4"/>
        <v>1584.4698063464853</v>
      </c>
      <c r="J11" s="78">
        <f t="shared" si="3"/>
        <v>1754.1461033679082</v>
      </c>
      <c r="K11" s="77">
        <f t="shared" si="1"/>
        <v>-169.6762970214229</v>
      </c>
    </row>
    <row r="12" spans="1:11" ht="25.5">
      <c r="A12" s="3">
        <v>8</v>
      </c>
      <c r="B12" s="2" t="s">
        <v>10</v>
      </c>
      <c r="C12" s="101">
        <v>767.0544400235432</v>
      </c>
      <c r="D12" s="101">
        <f>'субв от числ уточ'!D13</f>
        <v>799.0239230586559</v>
      </c>
      <c r="E12" s="90">
        <f t="shared" si="0"/>
        <v>31.969483035112717</v>
      </c>
      <c r="F12" s="101">
        <v>903.1279438220481</v>
      </c>
      <c r="G12" s="101">
        <f>'Дотации '!O12</f>
        <v>400.6436276232705</v>
      </c>
      <c r="H12" s="90">
        <f t="shared" si="2"/>
        <v>-502.4843161987776</v>
      </c>
      <c r="I12" s="101">
        <f t="shared" si="4"/>
        <v>1199.6675506819265</v>
      </c>
      <c r="J12" s="78">
        <f t="shared" si="3"/>
        <v>1670.1823838455912</v>
      </c>
      <c r="K12" s="77">
        <f t="shared" si="1"/>
        <v>-470.51483316366466</v>
      </c>
    </row>
    <row r="13" spans="1:11" ht="25.5">
      <c r="A13" s="3">
        <v>9</v>
      </c>
      <c r="B13" s="2" t="s">
        <v>11</v>
      </c>
      <c r="C13" s="101">
        <v>833.728710064744</v>
      </c>
      <c r="D13" s="101">
        <f>'субв от числ уточ'!D14</f>
        <v>864.1412270244598</v>
      </c>
      <c r="E13" s="90">
        <f t="shared" si="0"/>
        <v>30.412516959715845</v>
      </c>
      <c r="F13" s="101">
        <v>137.09427583302926</v>
      </c>
      <c r="G13" s="101">
        <f>'Дотации '!O13</f>
        <v>99.43569524461826</v>
      </c>
      <c r="H13" s="90">
        <f t="shared" si="2"/>
        <v>-37.658580588411</v>
      </c>
      <c r="I13" s="101">
        <f t="shared" si="4"/>
        <v>963.5769222690781</v>
      </c>
      <c r="J13" s="78">
        <f t="shared" si="3"/>
        <v>970.8229858977732</v>
      </c>
      <c r="K13" s="77">
        <f t="shared" si="1"/>
        <v>-7.246063628695083</v>
      </c>
    </row>
    <row r="14" spans="1:11" ht="25.5">
      <c r="A14" s="4">
        <v>10</v>
      </c>
      <c r="B14" s="2" t="s">
        <v>12</v>
      </c>
      <c r="C14" s="101">
        <v>1404.3643545615066</v>
      </c>
      <c r="D14" s="101">
        <f>'субв от числ уточ'!D15</f>
        <v>1472.8464597482782</v>
      </c>
      <c r="E14" s="90">
        <f t="shared" si="0"/>
        <v>68.4821051867716</v>
      </c>
      <c r="F14" s="101">
        <v>0</v>
      </c>
      <c r="G14" s="101">
        <f>'Дотации '!O14</f>
        <v>0</v>
      </c>
      <c r="H14" s="101">
        <f t="shared" si="2"/>
        <v>0</v>
      </c>
      <c r="I14" s="101">
        <f t="shared" si="4"/>
        <v>1472.8464597482782</v>
      </c>
      <c r="J14" s="78">
        <f t="shared" si="3"/>
        <v>1404.3643545615066</v>
      </c>
      <c r="K14" s="77">
        <f t="shared" si="1"/>
        <v>68.4821051867716</v>
      </c>
    </row>
    <row r="15" spans="1:11" ht="12.75">
      <c r="A15" s="3"/>
      <c r="B15" s="11" t="s">
        <v>15</v>
      </c>
      <c r="C15" s="110">
        <v>12756.71</v>
      </c>
      <c r="D15" s="101">
        <f>SUM(D5:D14)</f>
        <v>13246.81</v>
      </c>
      <c r="E15" s="101">
        <f t="shared" si="0"/>
        <v>490.10000000000036</v>
      </c>
      <c r="F15" s="101">
        <v>5400</v>
      </c>
      <c r="G15" s="101">
        <f>SUM(G5:G14)</f>
        <v>3000.0000000000005</v>
      </c>
      <c r="H15" s="101">
        <f>G15-F15</f>
        <v>-2399.9999999999995</v>
      </c>
      <c r="I15" s="101">
        <f t="shared" si="4"/>
        <v>16246.81</v>
      </c>
      <c r="J15" s="101">
        <f>SUM(J5:J14)</f>
        <v>18156.709999999995</v>
      </c>
      <c r="K15" s="101">
        <f>SUM(K5:K14)</f>
        <v>-1909.8899999999987</v>
      </c>
    </row>
    <row r="16" spans="2:11" ht="12.75">
      <c r="B16" s="1"/>
      <c r="C16" s="81"/>
      <c r="D16" s="120"/>
      <c r="E16" s="82"/>
      <c r="F16" s="121"/>
      <c r="G16" s="120"/>
      <c r="H16" s="82"/>
      <c r="I16" s="82"/>
      <c r="J16" s="82"/>
      <c r="K16" s="82"/>
    </row>
    <row r="17" spans="2:9" ht="24.75" customHeight="1">
      <c r="B17" s="149" t="s">
        <v>96</v>
      </c>
      <c r="C17" s="149"/>
      <c r="D17" s="149"/>
      <c r="G17" s="135"/>
      <c r="H17" s="135"/>
      <c r="I17" s="135"/>
    </row>
  </sheetData>
  <mergeCells count="7">
    <mergeCell ref="I3:J3"/>
    <mergeCell ref="B17:D17"/>
    <mergeCell ref="A2:H2"/>
    <mergeCell ref="C3:E3"/>
    <mergeCell ref="F3:H3"/>
    <mergeCell ref="B3:B4"/>
    <mergeCell ref="A3:A4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6"/>
  <sheetViews>
    <sheetView tabSelected="1" workbookViewId="0" topLeftCell="A2">
      <selection activeCell="H17" sqref="H17"/>
    </sheetView>
  </sheetViews>
  <sheetFormatPr defaultColWidth="9.00390625" defaultRowHeight="12.75"/>
  <cols>
    <col min="1" max="1" width="5.625" style="0" customWidth="1"/>
    <col min="2" max="2" width="26.625" style="0" customWidth="1"/>
    <col min="3" max="3" width="12.00390625" style="0" customWidth="1"/>
    <col min="4" max="4" width="10.75390625" style="0" customWidth="1"/>
    <col min="5" max="5" width="10.75390625" style="7" customWidth="1"/>
  </cols>
  <sheetData>
    <row r="2" spans="1:5" ht="42.75" customHeight="1">
      <c r="A2" s="138" t="s">
        <v>158</v>
      </c>
      <c r="B2" s="138"/>
      <c r="C2" s="138"/>
      <c r="D2" s="138"/>
      <c r="E2" s="138"/>
    </row>
    <row r="3" spans="1:5" ht="54.75" customHeight="1">
      <c r="A3" s="102"/>
      <c r="B3" s="102"/>
      <c r="C3" s="102" t="s">
        <v>134</v>
      </c>
      <c r="D3" s="102" t="s">
        <v>135</v>
      </c>
      <c r="E3" s="57" t="s">
        <v>159</v>
      </c>
    </row>
    <row r="4" spans="1:5" ht="25.5">
      <c r="A4" s="3">
        <v>1</v>
      </c>
      <c r="B4" s="2" t="s">
        <v>3</v>
      </c>
      <c r="C4" s="109" t="e">
        <f>#REF!</f>
        <v>#REF!</v>
      </c>
      <c r="D4" s="101">
        <v>4165.55</v>
      </c>
      <c r="E4" s="101">
        <v>4332.3</v>
      </c>
    </row>
    <row r="5" spans="1:5" ht="25.5">
      <c r="A5" s="3">
        <v>2</v>
      </c>
      <c r="B5" s="2" t="s">
        <v>4</v>
      </c>
      <c r="C5" s="109" t="e">
        <f>#REF!</f>
        <v>#REF!</v>
      </c>
      <c r="D5" s="101">
        <v>2940.71</v>
      </c>
      <c r="E5" s="101">
        <v>3036.13</v>
      </c>
    </row>
    <row r="6" spans="1:5" ht="25.5">
      <c r="A6" s="3">
        <v>3</v>
      </c>
      <c r="B6" s="2" t="s">
        <v>5</v>
      </c>
      <c r="C6" s="109" t="e">
        <f>#REF!</f>
        <v>#REF!</v>
      </c>
      <c r="D6" s="101">
        <v>1353.86</v>
      </c>
      <c r="E6" s="101">
        <v>1379.45</v>
      </c>
    </row>
    <row r="7" spans="1:5" ht="25.5">
      <c r="A7" s="3">
        <v>4</v>
      </c>
      <c r="B7" s="2" t="s">
        <v>6</v>
      </c>
      <c r="C7" s="109" t="e">
        <f>#REF!</f>
        <v>#REF!</v>
      </c>
      <c r="D7" s="101">
        <v>606.23</v>
      </c>
      <c r="E7" s="101">
        <v>629.68</v>
      </c>
    </row>
    <row r="8" spans="1:5" ht="25.5">
      <c r="A8" s="3">
        <v>5</v>
      </c>
      <c r="B8" s="2" t="s">
        <v>7</v>
      </c>
      <c r="C8" s="109" t="e">
        <f>#REF!</f>
        <v>#REF!</v>
      </c>
      <c r="D8" s="101">
        <v>1186.54</v>
      </c>
      <c r="E8" s="101">
        <v>1218</v>
      </c>
    </row>
    <row r="9" spans="1:5" ht="25.5">
      <c r="A9" s="3">
        <v>6</v>
      </c>
      <c r="B9" s="2" t="s">
        <v>8</v>
      </c>
      <c r="C9" s="109" t="e">
        <f>#REF!</f>
        <v>#REF!</v>
      </c>
      <c r="D9" s="101">
        <v>1023.55</v>
      </c>
      <c r="E9" s="101">
        <v>1057.15</v>
      </c>
    </row>
    <row r="10" spans="1:5" ht="25.5">
      <c r="A10" s="3">
        <v>7</v>
      </c>
      <c r="B10" s="2" t="s">
        <v>9</v>
      </c>
      <c r="C10" s="109" t="e">
        <f>#REF!</f>
        <v>#REF!</v>
      </c>
      <c r="D10" s="101">
        <v>1676.99</v>
      </c>
      <c r="E10" s="101">
        <v>1720.08</v>
      </c>
    </row>
    <row r="11" spans="1:5" ht="25.5">
      <c r="A11" s="3">
        <v>8</v>
      </c>
      <c r="B11" s="2" t="s">
        <v>10</v>
      </c>
      <c r="C11" s="109" t="e">
        <f>#REF!</f>
        <v>#REF!</v>
      </c>
      <c r="D11" s="101">
        <v>1297.52</v>
      </c>
      <c r="E11" s="101">
        <v>1329.67</v>
      </c>
    </row>
    <row r="12" spans="1:5" ht="25.5">
      <c r="A12" s="3">
        <v>9</v>
      </c>
      <c r="B12" s="2" t="s">
        <v>11</v>
      </c>
      <c r="C12" s="109" t="e">
        <f>#REF!</f>
        <v>#REF!</v>
      </c>
      <c r="D12" s="101">
        <v>994.44</v>
      </c>
      <c r="E12" s="101">
        <v>1033.11</v>
      </c>
    </row>
    <row r="13" spans="1:5" ht="25.5">
      <c r="A13" s="4">
        <v>10</v>
      </c>
      <c r="B13" s="2" t="s">
        <v>12</v>
      </c>
      <c r="C13" s="109" t="e">
        <f>#REF!</f>
        <v>#REF!</v>
      </c>
      <c r="D13" s="101">
        <f>1531.82</f>
        <v>1531.82</v>
      </c>
      <c r="E13" s="101">
        <v>1593.14</v>
      </c>
    </row>
    <row r="14" spans="1:5" ht="12.75">
      <c r="A14" s="3"/>
      <c r="B14" s="11" t="s">
        <v>15</v>
      </c>
      <c r="C14" s="110" t="e">
        <f>SUM(C4:C13)</f>
        <v>#REF!</v>
      </c>
      <c r="D14" s="110">
        <f>SUM(D4:D13)</f>
        <v>16777.21</v>
      </c>
      <c r="E14" s="110">
        <f>SUM(E4:E13)</f>
        <v>17328.710000000003</v>
      </c>
    </row>
    <row r="15" spans="2:5" ht="12.75">
      <c r="B15" s="1"/>
      <c r="C15" s="81"/>
      <c r="D15" s="1"/>
      <c r="E15" s="49"/>
    </row>
    <row r="16" spans="2:5" ht="24.75" customHeight="1">
      <c r="B16" s="1" t="s">
        <v>96</v>
      </c>
      <c r="C16" s="1"/>
      <c r="D16" s="1"/>
      <c r="E16" s="1"/>
    </row>
  </sheetData>
  <mergeCells count="1">
    <mergeCell ref="A2:E2"/>
  </mergeCells>
  <printOptions/>
  <pageMargins left="0.75" right="0.75" top="1" bottom="1" header="0.5" footer="0.5"/>
  <pageSetup horizontalDpi="600" verticalDpi="600" orientation="landscape" paperSize="9" scale="10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view="pageBreakPreview" zoomScale="75" zoomScaleSheetLayoutView="75" workbookViewId="0" topLeftCell="A1">
      <selection activeCell="F32" sqref="F32"/>
    </sheetView>
  </sheetViews>
  <sheetFormatPr defaultColWidth="9.00390625" defaultRowHeight="12.75"/>
  <cols>
    <col min="1" max="1" width="5.375" style="0" customWidth="1"/>
    <col min="2" max="2" width="35.875" style="0" customWidth="1"/>
    <col min="3" max="3" width="16.125" style="0" customWidth="1"/>
    <col min="4" max="4" width="25.25390625" style="0" customWidth="1"/>
  </cols>
  <sheetData>
    <row r="2" spans="1:4" ht="45.75" customHeight="1">
      <c r="A2" s="148" t="s">
        <v>166</v>
      </c>
      <c r="B2" s="148"/>
      <c r="C2" s="148"/>
      <c r="D2" s="148"/>
    </row>
    <row r="4" spans="1:6" ht="38.25">
      <c r="A4" s="2" t="s">
        <v>0</v>
      </c>
      <c r="B4" s="2" t="s">
        <v>1</v>
      </c>
      <c r="C4" s="2" t="s">
        <v>13</v>
      </c>
      <c r="D4" s="2" t="s">
        <v>63</v>
      </c>
      <c r="E4" s="1"/>
      <c r="F4" s="1"/>
    </row>
    <row r="5" spans="1:4" ht="12.75">
      <c r="A5" s="3">
        <v>1</v>
      </c>
      <c r="B5" s="2" t="s">
        <v>3</v>
      </c>
      <c r="C5" s="22">
        <v>12732</v>
      </c>
      <c r="D5" s="8">
        <f>(0.6*C5+0.4*C16)/C5</f>
        <v>0.73229657555765</v>
      </c>
    </row>
    <row r="6" spans="1:4" ht="12.75">
      <c r="A6" s="3">
        <v>2</v>
      </c>
      <c r="B6" s="2" t="s">
        <v>4</v>
      </c>
      <c r="C6" s="22">
        <v>7983</v>
      </c>
      <c r="D6" s="8">
        <f>(0.6*C6+0.4*C16)/C6</f>
        <v>0.8109983715395216</v>
      </c>
    </row>
    <row r="7" spans="1:4" ht="12.75">
      <c r="A7" s="3">
        <v>3</v>
      </c>
      <c r="B7" s="2" t="s">
        <v>5</v>
      </c>
      <c r="C7" s="22">
        <v>1762</v>
      </c>
      <c r="D7" s="8">
        <f>(0.6*C7+0.4*C16)/C7</f>
        <v>1.5559591373439277</v>
      </c>
    </row>
    <row r="8" spans="1:4" ht="12.75">
      <c r="A8" s="3">
        <v>4</v>
      </c>
      <c r="B8" s="2" t="s">
        <v>6</v>
      </c>
      <c r="C8" s="22">
        <v>1484</v>
      </c>
      <c r="D8" s="8">
        <f>(0.6*C8+0.4*C16)/C8</f>
        <v>1.7350404312668466</v>
      </c>
    </row>
    <row r="9" spans="1:4" ht="12.75">
      <c r="A9" s="3">
        <v>5</v>
      </c>
      <c r="B9" s="2" t="s">
        <v>7</v>
      </c>
      <c r="C9" s="22">
        <v>2313</v>
      </c>
      <c r="D9" s="8">
        <f>(0.6*C9+0.4*C16)/C9</f>
        <v>1.3282317336792044</v>
      </c>
    </row>
    <row r="10" spans="1:4" ht="12.75">
      <c r="A10" s="3">
        <v>6</v>
      </c>
      <c r="B10" s="2" t="s">
        <v>8</v>
      </c>
      <c r="C10" s="22">
        <v>2553</v>
      </c>
      <c r="D10" s="8">
        <f>(0.6*C10+0.4*C16)/C10</f>
        <v>1.2597728162945554</v>
      </c>
    </row>
    <row r="11" spans="1:4" ht="12.75">
      <c r="A11" s="3">
        <v>7</v>
      </c>
      <c r="B11" s="2" t="s">
        <v>9</v>
      </c>
      <c r="C11" s="22">
        <v>3314</v>
      </c>
      <c r="D11" s="8">
        <f>(0.6*C11+0.4*C16)/C11</f>
        <v>1.108267954133977</v>
      </c>
    </row>
    <row r="12" spans="1:4" ht="25.5">
      <c r="A12" s="3">
        <v>8</v>
      </c>
      <c r="B12" s="2" t="s">
        <v>10</v>
      </c>
      <c r="C12" s="22">
        <v>2540</v>
      </c>
      <c r="D12" s="8">
        <f>(0.6*C12+0.4*C16)/C12</f>
        <v>1.2631496062992127</v>
      </c>
    </row>
    <row r="13" spans="1:4" ht="12.75">
      <c r="A13" s="3">
        <v>9</v>
      </c>
      <c r="B13" s="2" t="s">
        <v>11</v>
      </c>
      <c r="C13" s="22">
        <v>2747</v>
      </c>
      <c r="D13" s="8">
        <f>(0.6*C13+0.4*C16)/C13</f>
        <v>1.2131780123771387</v>
      </c>
    </row>
    <row r="14" spans="1:4" ht="12.75">
      <c r="A14" s="4">
        <v>10</v>
      </c>
      <c r="B14" s="2" t="s">
        <v>12</v>
      </c>
      <c r="C14" s="22">
        <v>4682</v>
      </c>
      <c r="D14" s="8">
        <f>(0.6*C14+0.4*C16)/C14</f>
        <v>0.9597607859888937</v>
      </c>
    </row>
    <row r="15" spans="1:4" ht="12.75">
      <c r="A15" s="3"/>
      <c r="B15" s="11" t="s">
        <v>65</v>
      </c>
      <c r="C15" s="23">
        <f>SUM(C5:C14)</f>
        <v>42110</v>
      </c>
      <c r="D15" s="19">
        <f>(0.6*C15+0.4*C16)/C15</f>
        <v>0.64</v>
      </c>
    </row>
    <row r="16" spans="1:4" ht="12.75">
      <c r="A16" s="3"/>
      <c r="B16" s="11" t="s">
        <v>2</v>
      </c>
      <c r="C16" s="9">
        <f>C15/10</f>
        <v>4211</v>
      </c>
      <c r="D16" s="3"/>
    </row>
    <row r="17" ht="12.75">
      <c r="B17" s="1"/>
    </row>
    <row r="18" ht="20.25" customHeight="1">
      <c r="B18" s="1"/>
    </row>
    <row r="19" spans="2:4" ht="12.75">
      <c r="B19" s="149" t="s">
        <v>96</v>
      </c>
      <c r="C19" s="149"/>
      <c r="D19" s="149"/>
    </row>
  </sheetData>
  <mergeCells count="2">
    <mergeCell ref="A2:D2"/>
    <mergeCell ref="B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75" zoomScaleSheetLayoutView="75" workbookViewId="0" topLeftCell="A16">
      <selection activeCell="G30" sqref="G30"/>
    </sheetView>
  </sheetViews>
  <sheetFormatPr defaultColWidth="9.00390625" defaultRowHeight="12.75"/>
  <cols>
    <col min="1" max="1" width="6.25390625" style="0" customWidth="1"/>
    <col min="2" max="2" width="35.25390625" style="0" customWidth="1"/>
    <col min="3" max="3" width="18.00390625" style="0" customWidth="1"/>
    <col min="4" max="4" width="16.00390625" style="0" customWidth="1"/>
  </cols>
  <sheetData>
    <row r="1" spans="1:4" ht="78" customHeight="1">
      <c r="A1" s="150" t="s">
        <v>165</v>
      </c>
      <c r="B1" s="150"/>
      <c r="C1" s="150"/>
      <c r="D1" s="150"/>
    </row>
    <row r="2" spans="1:4" ht="38.25">
      <c r="A2" s="9" t="s">
        <v>17</v>
      </c>
      <c r="B2" s="9" t="s">
        <v>16</v>
      </c>
      <c r="C2" s="11" t="s">
        <v>144</v>
      </c>
      <c r="D2" s="11" t="s">
        <v>62</v>
      </c>
    </row>
    <row r="3" spans="1:4" ht="12.75">
      <c r="A3" s="9">
        <v>1</v>
      </c>
      <c r="B3" s="9" t="s">
        <v>3</v>
      </c>
      <c r="C3" s="9">
        <f>C4+C5+C6</f>
        <v>12732</v>
      </c>
      <c r="D3" s="14">
        <f>(D4/C3)+1</f>
        <v>1.0157869934024506</v>
      </c>
    </row>
    <row r="4" spans="1:4" ht="12.75">
      <c r="A4" s="3"/>
      <c r="B4" s="12" t="s">
        <v>24</v>
      </c>
      <c r="C4" s="3">
        <v>11477</v>
      </c>
      <c r="D4" s="3">
        <f>C6</f>
        <v>201</v>
      </c>
    </row>
    <row r="5" spans="1:4" ht="12.75">
      <c r="A5" s="3"/>
      <c r="B5" s="3" t="s">
        <v>18</v>
      </c>
      <c r="C5" s="3">
        <v>1054</v>
      </c>
      <c r="D5" s="3"/>
    </row>
    <row r="6" spans="1:4" ht="12.75">
      <c r="A6" s="3"/>
      <c r="B6" s="3" t="s">
        <v>64</v>
      </c>
      <c r="C6" s="3">
        <v>201</v>
      </c>
      <c r="D6" s="3"/>
    </row>
    <row r="7" spans="1:4" ht="12.75">
      <c r="A7" s="9">
        <v>2</v>
      </c>
      <c r="B7" s="9" t="s">
        <v>4</v>
      </c>
      <c r="C7" s="9">
        <f>C8+C9+C10</f>
        <v>7983</v>
      </c>
      <c r="D7" s="9">
        <v>1</v>
      </c>
    </row>
    <row r="8" spans="1:4" ht="12.75">
      <c r="A8" s="3"/>
      <c r="B8" s="12" t="s">
        <v>26</v>
      </c>
      <c r="C8" s="3">
        <v>6234</v>
      </c>
      <c r="D8" s="3"/>
    </row>
    <row r="9" spans="1:4" ht="12.75">
      <c r="A9" s="3"/>
      <c r="B9" s="3" t="s">
        <v>19</v>
      </c>
      <c r="C9" s="3">
        <v>1181</v>
      </c>
      <c r="D9" s="3"/>
    </row>
    <row r="10" spans="1:4" ht="12.75">
      <c r="A10" s="3"/>
      <c r="B10" s="3" t="s">
        <v>20</v>
      </c>
      <c r="C10" s="3">
        <v>568</v>
      </c>
      <c r="D10" s="3"/>
    </row>
    <row r="11" spans="1:4" ht="12.75">
      <c r="A11" s="9">
        <v>3</v>
      </c>
      <c r="B11" s="9" t="s">
        <v>5</v>
      </c>
      <c r="C11" s="9">
        <f>C12+C13+C14+C15+C16+C17+C18+C19+C20</f>
        <v>1762</v>
      </c>
      <c r="D11" s="14">
        <f>(D12/C11)+1</f>
        <v>2</v>
      </c>
    </row>
    <row r="12" spans="1:4" ht="12.75">
      <c r="A12" s="3"/>
      <c r="B12" s="3" t="s">
        <v>21</v>
      </c>
      <c r="C12" s="3">
        <v>336</v>
      </c>
      <c r="D12" s="3">
        <f>C12+C13+C14+C15+C16+C18+C19+C20+C17</f>
        <v>1762</v>
      </c>
    </row>
    <row r="13" spans="1:4" ht="12.75">
      <c r="A13" s="3"/>
      <c r="B13" s="3" t="s">
        <v>22</v>
      </c>
      <c r="C13" s="3">
        <v>33</v>
      </c>
      <c r="D13" s="3"/>
    </row>
    <row r="14" spans="1:4" ht="12.75">
      <c r="A14" s="3"/>
      <c r="B14" s="3" t="s">
        <v>23</v>
      </c>
      <c r="C14" s="3">
        <v>47</v>
      </c>
      <c r="D14" s="3"/>
    </row>
    <row r="15" spans="1:4" ht="12.75">
      <c r="A15" s="3"/>
      <c r="B15" s="12" t="s">
        <v>25</v>
      </c>
      <c r="C15" s="3">
        <v>390</v>
      </c>
      <c r="D15" s="3"/>
    </row>
    <row r="16" spans="1:4" ht="12.75">
      <c r="A16" s="3"/>
      <c r="B16" s="3" t="s">
        <v>27</v>
      </c>
      <c r="C16" s="3">
        <v>324</v>
      </c>
      <c r="D16" s="3"/>
    </row>
    <row r="17" spans="1:4" ht="12.75">
      <c r="A17" s="3"/>
      <c r="B17" s="3" t="s">
        <v>28</v>
      </c>
      <c r="C17" s="3">
        <v>495</v>
      </c>
      <c r="D17" s="3"/>
    </row>
    <row r="18" spans="1:4" ht="12.75">
      <c r="A18" s="3"/>
      <c r="B18" s="3" t="s">
        <v>29</v>
      </c>
      <c r="C18" s="3">
        <v>117</v>
      </c>
      <c r="D18" s="3"/>
    </row>
    <row r="19" spans="1:4" ht="12.75">
      <c r="A19" s="3"/>
      <c r="B19" s="3" t="s">
        <v>30</v>
      </c>
      <c r="C19" s="3">
        <v>18</v>
      </c>
      <c r="D19" s="3"/>
    </row>
    <row r="20" spans="1:4" ht="12.75">
      <c r="A20" s="3"/>
      <c r="B20" s="3" t="s">
        <v>31</v>
      </c>
      <c r="C20" s="3">
        <v>2</v>
      </c>
      <c r="D20" s="3"/>
    </row>
    <row r="21" spans="1:4" ht="12.75">
      <c r="A21" s="9">
        <v>4</v>
      </c>
      <c r="B21" s="9" t="s">
        <v>6</v>
      </c>
      <c r="C21" s="9">
        <f>C22+C23+C24+C25+C26+C27</f>
        <v>1484</v>
      </c>
      <c r="D21" s="14">
        <f>(D22/C21)+1</f>
        <v>1.6226415094339623</v>
      </c>
    </row>
    <row r="22" spans="1:4" ht="12.75">
      <c r="A22" s="3"/>
      <c r="B22" s="12" t="s">
        <v>32</v>
      </c>
      <c r="C22" s="3">
        <v>560</v>
      </c>
      <c r="D22" s="3">
        <f>C23+C24+C25+C26+C27</f>
        <v>924</v>
      </c>
    </row>
    <row r="23" spans="1:4" ht="12.75">
      <c r="A23" s="3"/>
      <c r="B23" s="3" t="s">
        <v>33</v>
      </c>
      <c r="C23" s="3">
        <v>402</v>
      </c>
      <c r="D23" s="3"/>
    </row>
    <row r="24" spans="1:4" ht="12.75">
      <c r="A24" s="3"/>
      <c r="B24" s="3" t="s">
        <v>34</v>
      </c>
      <c r="C24" s="3">
        <v>43</v>
      </c>
      <c r="D24" s="3"/>
    </row>
    <row r="25" spans="1:4" ht="12.75">
      <c r="A25" s="3"/>
      <c r="B25" s="3" t="s">
        <v>35</v>
      </c>
      <c r="C25" s="3">
        <v>383</v>
      </c>
      <c r="D25" s="3"/>
    </row>
    <row r="26" spans="1:4" ht="12.75">
      <c r="A26" s="3"/>
      <c r="B26" s="3" t="s">
        <v>36</v>
      </c>
      <c r="C26" s="3">
        <v>96</v>
      </c>
      <c r="D26" s="3"/>
    </row>
    <row r="27" spans="1:4" ht="12.75">
      <c r="A27" s="3"/>
      <c r="B27" s="3" t="s">
        <v>37</v>
      </c>
      <c r="C27" s="3">
        <v>0</v>
      </c>
      <c r="D27" s="3"/>
    </row>
    <row r="28" spans="1:4" ht="12.75">
      <c r="A28" s="9">
        <v>5</v>
      </c>
      <c r="B28" s="9" t="s">
        <v>7</v>
      </c>
      <c r="C28" s="9">
        <f>C29+C30+C31+C32</f>
        <v>2313</v>
      </c>
      <c r="D28" s="14">
        <f>(D29/C28)+1</f>
        <v>1.309554690877648</v>
      </c>
    </row>
    <row r="29" spans="1:4" ht="12.75">
      <c r="A29" s="3"/>
      <c r="B29" s="12" t="s">
        <v>38</v>
      </c>
      <c r="C29" s="3">
        <v>1597</v>
      </c>
      <c r="D29" s="3">
        <f>C30+C31+C32</f>
        <v>716</v>
      </c>
    </row>
    <row r="30" spans="1:4" ht="12.75">
      <c r="A30" s="3"/>
      <c r="B30" s="3" t="s">
        <v>39</v>
      </c>
      <c r="C30" s="3">
        <v>38</v>
      </c>
      <c r="D30" s="3"/>
    </row>
    <row r="31" spans="1:4" ht="12.75">
      <c r="A31" s="3"/>
      <c r="B31" s="3" t="s">
        <v>40</v>
      </c>
      <c r="C31" s="3">
        <v>298</v>
      </c>
      <c r="D31" s="3"/>
    </row>
    <row r="32" spans="1:4" ht="12.75">
      <c r="A32" s="3"/>
      <c r="B32" s="3" t="s">
        <v>60</v>
      </c>
      <c r="C32" s="3">
        <v>380</v>
      </c>
      <c r="D32" s="3"/>
    </row>
    <row r="33" spans="1:4" ht="12.75">
      <c r="A33" s="9">
        <v>6</v>
      </c>
      <c r="B33" s="9" t="s">
        <v>8</v>
      </c>
      <c r="C33" s="9">
        <f>C34+C35+C36+C37</f>
        <v>2553</v>
      </c>
      <c r="D33" s="14">
        <f>D34/C33+1</f>
        <v>1.0321190755973364</v>
      </c>
    </row>
    <row r="34" spans="1:4" ht="12.75">
      <c r="A34" s="3"/>
      <c r="B34" s="3" t="s">
        <v>41</v>
      </c>
      <c r="C34" s="3">
        <v>786</v>
      </c>
      <c r="D34" s="3">
        <f>C37</f>
        <v>82</v>
      </c>
    </row>
    <row r="35" spans="1:4" ht="12.75">
      <c r="A35" s="3"/>
      <c r="B35" s="12" t="s">
        <v>42</v>
      </c>
      <c r="C35" s="3">
        <v>836</v>
      </c>
      <c r="D35" s="3"/>
    </row>
    <row r="36" spans="1:4" ht="12.75">
      <c r="A36" s="3"/>
      <c r="B36" s="3" t="s">
        <v>43</v>
      </c>
      <c r="C36" s="3">
        <v>849</v>
      </c>
      <c r="D36" s="3"/>
    </row>
    <row r="37" spans="1:4" ht="12.75">
      <c r="A37" s="3"/>
      <c r="B37" s="3" t="s">
        <v>44</v>
      </c>
      <c r="C37" s="3">
        <v>82</v>
      </c>
      <c r="D37" s="3"/>
    </row>
    <row r="38" spans="1:4" ht="12.75">
      <c r="A38" s="9">
        <v>7</v>
      </c>
      <c r="B38" s="9" t="s">
        <v>9</v>
      </c>
      <c r="C38" s="9">
        <f>C39+C40+C41+C42+C43+C44+C45</f>
        <v>3314</v>
      </c>
      <c r="D38" s="14">
        <f>D39/C38+1</f>
        <v>1.3747736873868437</v>
      </c>
    </row>
    <row r="39" spans="1:4" ht="12.75">
      <c r="A39" s="3"/>
      <c r="B39" s="3" t="s">
        <v>45</v>
      </c>
      <c r="C39" s="3">
        <v>586</v>
      </c>
      <c r="D39" s="3">
        <f>C40+C41+C45+C42</f>
        <v>1242</v>
      </c>
    </row>
    <row r="40" spans="1:4" ht="12.75">
      <c r="A40" s="3"/>
      <c r="B40" s="3" t="s">
        <v>46</v>
      </c>
      <c r="C40" s="3">
        <v>133</v>
      </c>
      <c r="D40" s="3"/>
    </row>
    <row r="41" spans="1:4" ht="12.75">
      <c r="A41" s="3"/>
      <c r="B41" s="3" t="s">
        <v>47</v>
      </c>
      <c r="C41" s="3">
        <v>164</v>
      </c>
      <c r="D41" s="3"/>
    </row>
    <row r="42" spans="1:4" ht="12.75">
      <c r="A42" s="3"/>
      <c r="B42" s="3" t="s">
        <v>48</v>
      </c>
      <c r="C42" s="3">
        <v>496</v>
      </c>
      <c r="D42" s="3"/>
    </row>
    <row r="43" spans="1:4" ht="12.75">
      <c r="A43" s="3"/>
      <c r="B43" s="3" t="s">
        <v>49</v>
      </c>
      <c r="C43" s="3">
        <v>828</v>
      </c>
      <c r="D43" s="3"/>
    </row>
    <row r="44" spans="1:4" ht="12.75">
      <c r="A44" s="3"/>
      <c r="B44" s="13" t="s">
        <v>50</v>
      </c>
      <c r="C44" s="4">
        <v>658</v>
      </c>
      <c r="D44" s="3"/>
    </row>
    <row r="45" spans="1:4" ht="12.75">
      <c r="A45" s="3"/>
      <c r="B45" s="4" t="s">
        <v>51</v>
      </c>
      <c r="C45" s="4">
        <v>449</v>
      </c>
      <c r="D45" s="3"/>
    </row>
    <row r="46" spans="1:4" ht="25.5">
      <c r="A46" s="9">
        <v>8</v>
      </c>
      <c r="B46" s="11" t="s">
        <v>52</v>
      </c>
      <c r="C46" s="9">
        <f>C47+C48</f>
        <v>2540</v>
      </c>
      <c r="D46" s="14">
        <f>(D47/C46)+1</f>
        <v>1.0346456692913386</v>
      </c>
    </row>
    <row r="47" spans="1:4" ht="12.75">
      <c r="A47" s="3"/>
      <c r="B47" s="21" t="s">
        <v>53</v>
      </c>
      <c r="C47" s="3">
        <v>2452</v>
      </c>
      <c r="D47" s="3">
        <f>C48</f>
        <v>88</v>
      </c>
    </row>
    <row r="48" spans="1:4" ht="12.75">
      <c r="A48" s="3"/>
      <c r="B48" s="2" t="s">
        <v>66</v>
      </c>
      <c r="C48" s="3">
        <v>88</v>
      </c>
      <c r="D48" s="3"/>
    </row>
    <row r="49" spans="1:4" ht="12.75">
      <c r="A49" s="9">
        <v>9</v>
      </c>
      <c r="B49" s="11" t="s">
        <v>11</v>
      </c>
      <c r="C49" s="9">
        <f>C50+C51</f>
        <v>2747</v>
      </c>
      <c r="D49" s="9">
        <v>1</v>
      </c>
    </row>
    <row r="50" spans="1:4" ht="12.75">
      <c r="A50" s="3"/>
      <c r="B50" s="21" t="s">
        <v>54</v>
      </c>
      <c r="C50" s="3">
        <v>1722</v>
      </c>
      <c r="D50" s="3"/>
    </row>
    <row r="51" spans="1:4" ht="12.75">
      <c r="A51" s="3"/>
      <c r="B51" s="2" t="s">
        <v>55</v>
      </c>
      <c r="C51" s="3">
        <v>1025</v>
      </c>
      <c r="D51" s="3"/>
    </row>
    <row r="52" spans="1:4" ht="12.75">
      <c r="A52" s="9">
        <v>10</v>
      </c>
      <c r="B52" s="11" t="s">
        <v>12</v>
      </c>
      <c r="C52" s="9">
        <f>C53+C54+C55</f>
        <v>4682</v>
      </c>
      <c r="D52" s="14">
        <f>(D53/C52)+1</f>
        <v>1.038017941050833</v>
      </c>
    </row>
    <row r="53" spans="1:4" ht="12.75">
      <c r="A53" s="3"/>
      <c r="B53" s="21" t="s">
        <v>56</v>
      </c>
      <c r="C53" s="3">
        <v>3002</v>
      </c>
      <c r="D53" s="3">
        <f>C55</f>
        <v>178</v>
      </c>
    </row>
    <row r="54" spans="1:4" ht="12.75">
      <c r="A54" s="3"/>
      <c r="B54" s="2" t="s">
        <v>57</v>
      </c>
      <c r="C54" s="3">
        <v>1502</v>
      </c>
      <c r="D54" s="3"/>
    </row>
    <row r="55" spans="1:4" ht="12.75">
      <c r="A55" s="3"/>
      <c r="B55" s="2" t="s">
        <v>58</v>
      </c>
      <c r="C55" s="3">
        <v>178</v>
      </c>
      <c r="D55" s="3"/>
    </row>
    <row r="56" spans="1:4" ht="37.5">
      <c r="A56" s="3"/>
      <c r="B56" s="136" t="s">
        <v>59</v>
      </c>
      <c r="C56" s="9">
        <f>C3+C7+C11+C21+C28+C33+C38+C46+C49+C52</f>
        <v>42110</v>
      </c>
      <c r="D56" s="14">
        <f>D57/C56+1</f>
        <v>1</v>
      </c>
    </row>
    <row r="57" ht="12.75">
      <c r="B57" s="1"/>
    </row>
    <row r="58" spans="2:4" ht="15" customHeight="1">
      <c r="B58" s="149" t="s">
        <v>96</v>
      </c>
      <c r="C58" s="149"/>
      <c r="D58" s="149"/>
    </row>
  </sheetData>
  <mergeCells count="2">
    <mergeCell ref="A1:D1"/>
    <mergeCell ref="B58:D58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4"/>
  <sheetViews>
    <sheetView view="pageBreakPreview" zoomScale="75" zoomScaleSheetLayoutView="75" workbookViewId="0" topLeftCell="A1">
      <selection activeCell="E25" sqref="E25"/>
    </sheetView>
  </sheetViews>
  <sheetFormatPr defaultColWidth="9.00390625" defaultRowHeight="12.75"/>
  <cols>
    <col min="1" max="1" width="32.25390625" style="0" customWidth="1"/>
    <col min="2" max="2" width="14.875" style="0" customWidth="1"/>
    <col min="3" max="3" width="13.00390625" style="0" customWidth="1"/>
    <col min="4" max="4" width="12.375" style="0" customWidth="1"/>
    <col min="5" max="5" width="17.125" style="0" customWidth="1"/>
    <col min="6" max="6" width="11.625" style="0" customWidth="1"/>
  </cols>
  <sheetData>
    <row r="3" spans="1:6" ht="12.75">
      <c r="A3" s="151"/>
      <c r="B3" s="151"/>
      <c r="C3" s="151"/>
      <c r="D3" s="151"/>
      <c r="E3" s="151"/>
      <c r="F3" s="151"/>
    </row>
    <row r="4" spans="1:6" ht="36" customHeight="1">
      <c r="A4" s="148" t="s">
        <v>167</v>
      </c>
      <c r="B4" s="148"/>
      <c r="C4" s="148"/>
      <c r="D4" s="148"/>
      <c r="E4" s="148"/>
      <c r="F4" s="148"/>
    </row>
    <row r="6" spans="1:6" ht="63.75">
      <c r="A6" s="3" t="s">
        <v>16</v>
      </c>
      <c r="B6" s="2" t="s">
        <v>168</v>
      </c>
      <c r="C6" s="2" t="s">
        <v>120</v>
      </c>
      <c r="D6" s="2" t="s">
        <v>169</v>
      </c>
      <c r="E6" s="2" t="s">
        <v>170</v>
      </c>
      <c r="F6" s="123" t="s">
        <v>76</v>
      </c>
    </row>
    <row r="7" spans="1:6" ht="27.75" customHeight="1">
      <c r="A7" s="2" t="s">
        <v>73</v>
      </c>
      <c r="B7" s="3">
        <f>22161.4+6783+186+97.6+7.2+1452.1+216.4+3.2+137.6</f>
        <v>31044.5</v>
      </c>
      <c r="C7" s="3">
        <v>2372.1</v>
      </c>
      <c r="D7" s="3">
        <f>B7+C7</f>
        <v>33416.6</v>
      </c>
      <c r="E7" s="3">
        <f>D7-3.2</f>
        <v>33413.4</v>
      </c>
      <c r="F7" s="124">
        <f>E7*100/E11</f>
        <v>27.93155334124689</v>
      </c>
    </row>
    <row r="8" spans="1:6" ht="12.75">
      <c r="A8" s="3" t="s">
        <v>125</v>
      </c>
      <c r="B8" s="3">
        <f>308.5+20+760+21735.2+69+700+200+500+900+10420+300+17788.5+9708.6</f>
        <v>63409.799999999996</v>
      </c>
      <c r="C8" s="3">
        <v>426.6</v>
      </c>
      <c r="D8" s="3">
        <f>B8+C8</f>
        <v>63836.399999999994</v>
      </c>
      <c r="E8" s="3">
        <f>D8-308.5-17788.5-20-760-69</f>
        <v>44890.399999999994</v>
      </c>
      <c r="F8" s="124">
        <f>E8*100/E11</f>
        <v>37.52562152040526</v>
      </c>
    </row>
    <row r="9" spans="1:6" ht="12.75">
      <c r="A9" s="3" t="s">
        <v>74</v>
      </c>
      <c r="B9" s="3">
        <f>12057.3+9800.9+85+3361.7+8115</f>
        <v>33419.899999999994</v>
      </c>
      <c r="C9" s="3"/>
      <c r="D9" s="3">
        <f>B9+C9</f>
        <v>33419.899999999994</v>
      </c>
      <c r="E9" s="3">
        <f>D9-3361.7</f>
        <v>30058.199999999993</v>
      </c>
      <c r="F9" s="124">
        <f>E9*100/E11</f>
        <v>25.12681189707923</v>
      </c>
    </row>
    <row r="10" spans="1:6" ht="12.75">
      <c r="A10" s="3" t="s">
        <v>75</v>
      </c>
      <c r="B10" s="3">
        <f>175+23.9+100.9+7510.1+600+2.4+200+910+1600+200+20+147.8+37.8+253.9+42.1+362.4</f>
        <v>12186.3</v>
      </c>
      <c r="C10" s="3"/>
      <c r="D10" s="3">
        <f>B10+C10</f>
        <v>12186.3</v>
      </c>
      <c r="E10" s="3">
        <f>D10-23.9-600-2.4-253.9-42.1</f>
        <v>11264</v>
      </c>
      <c r="F10" s="124">
        <f>E10*100/E11</f>
        <v>9.416013241268622</v>
      </c>
    </row>
    <row r="11" spans="1:6" s="31" customFormat="1" ht="12.75">
      <c r="A11" s="9" t="s">
        <v>14</v>
      </c>
      <c r="B11" s="9">
        <f>SUM(B7:B10)</f>
        <v>140060.49999999997</v>
      </c>
      <c r="C11" s="9">
        <f>SUM(C7:C10)</f>
        <v>2798.7</v>
      </c>
      <c r="D11" s="9">
        <f>SUM(D7:D10)</f>
        <v>142859.19999999998</v>
      </c>
      <c r="E11" s="9">
        <f>E7+E8+E9+E10</f>
        <v>119625.99999999999</v>
      </c>
      <c r="F11" s="125">
        <v>100</v>
      </c>
    </row>
    <row r="12" ht="12.75">
      <c r="A12" s="103"/>
    </row>
    <row r="13" spans="1:5" ht="17.25" customHeight="1">
      <c r="A13" s="89"/>
      <c r="B13" s="7"/>
      <c r="C13" s="7"/>
      <c r="D13" s="7"/>
      <c r="E13" s="7"/>
    </row>
    <row r="14" ht="12.75">
      <c r="B14" s="7"/>
    </row>
  </sheetData>
  <mergeCells count="2">
    <mergeCell ref="A4:F4"/>
    <mergeCell ref="A3:F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9"/>
  <sheetViews>
    <sheetView view="pageBreakPreview" zoomScale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5" sqref="I15"/>
    </sheetView>
  </sheetViews>
  <sheetFormatPr defaultColWidth="9.00390625" defaultRowHeight="12.75"/>
  <cols>
    <col min="1" max="1" width="5.625" style="0" customWidth="1"/>
    <col min="2" max="2" width="30.00390625" style="0" customWidth="1"/>
    <col min="3" max="3" width="9.375" style="0" bestFit="1" customWidth="1"/>
    <col min="4" max="4" width="11.125" style="0" bestFit="1" customWidth="1"/>
    <col min="5" max="5" width="13.75390625" style="31" customWidth="1"/>
    <col min="6" max="6" width="9.375" style="0" bestFit="1" customWidth="1"/>
    <col min="7" max="7" width="11.25390625" style="0" bestFit="1" customWidth="1"/>
    <col min="8" max="8" width="11.125" style="0" bestFit="1" customWidth="1"/>
    <col min="9" max="9" width="12.25390625" style="31" customWidth="1"/>
    <col min="10" max="10" width="10.125" style="0" customWidth="1"/>
    <col min="11" max="11" width="0.2421875" style="18" hidden="1" customWidth="1"/>
    <col min="12" max="12" width="11.25390625" style="0" bestFit="1" customWidth="1"/>
    <col min="13" max="13" width="11.125" style="0" bestFit="1" customWidth="1"/>
    <col min="14" max="14" width="7.75390625" style="42" customWidth="1"/>
    <col min="15" max="15" width="8.75390625" style="0" bestFit="1" customWidth="1"/>
    <col min="18" max="18" width="9.125" style="42" customWidth="1"/>
    <col min="19" max="19" width="11.25390625" style="31" customWidth="1"/>
    <col min="21" max="21" width="9.125" style="18" customWidth="1"/>
  </cols>
  <sheetData>
    <row r="2" spans="1:15" ht="54.75" customHeight="1">
      <c r="A2" s="152" t="s">
        <v>164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4" spans="1:19" ht="38.25" customHeight="1">
      <c r="A4" s="153" t="s">
        <v>0</v>
      </c>
      <c r="B4" s="153" t="s">
        <v>1</v>
      </c>
      <c r="C4" s="155" t="s">
        <v>67</v>
      </c>
      <c r="D4" s="156"/>
      <c r="E4" s="157"/>
      <c r="F4" s="156" t="s">
        <v>68</v>
      </c>
      <c r="G4" s="156"/>
      <c r="H4" s="156"/>
      <c r="I4" s="157"/>
      <c r="J4" s="156" t="s">
        <v>69</v>
      </c>
      <c r="K4" s="156"/>
      <c r="L4" s="156"/>
      <c r="M4" s="156"/>
      <c r="N4" s="157"/>
      <c r="O4" s="158" t="s">
        <v>79</v>
      </c>
      <c r="P4" s="158"/>
      <c r="Q4" s="158"/>
      <c r="R4" s="158"/>
      <c r="S4" s="141" t="s">
        <v>80</v>
      </c>
    </row>
    <row r="5" spans="1:21" ht="62.25" customHeight="1">
      <c r="A5" s="154"/>
      <c r="B5" s="154"/>
      <c r="C5" s="17" t="s">
        <v>77</v>
      </c>
      <c r="D5" s="17" t="s">
        <v>70</v>
      </c>
      <c r="E5" s="67" t="s">
        <v>121</v>
      </c>
      <c r="F5" s="36" t="s">
        <v>77</v>
      </c>
      <c r="G5" s="53" t="s">
        <v>72</v>
      </c>
      <c r="H5" s="36" t="s">
        <v>70</v>
      </c>
      <c r="I5" s="65" t="s">
        <v>126</v>
      </c>
      <c r="J5" s="36" t="s">
        <v>77</v>
      </c>
      <c r="K5" s="54" t="s">
        <v>78</v>
      </c>
      <c r="L5" s="53" t="s">
        <v>72</v>
      </c>
      <c r="M5" s="36" t="s">
        <v>70</v>
      </c>
      <c r="N5" s="61" t="s">
        <v>128</v>
      </c>
      <c r="O5" s="36" t="s">
        <v>77</v>
      </c>
      <c r="P5" s="53" t="s">
        <v>72</v>
      </c>
      <c r="Q5" s="36" t="s">
        <v>70</v>
      </c>
      <c r="R5" s="61" t="s">
        <v>129</v>
      </c>
      <c r="S5" s="141"/>
      <c r="U5" s="44"/>
    </row>
    <row r="6" spans="1:19" ht="12.75">
      <c r="A6" s="24">
        <v>1</v>
      </c>
      <c r="B6" s="24">
        <v>2</v>
      </c>
      <c r="C6" s="15">
        <v>3</v>
      </c>
      <c r="D6" s="15">
        <v>4</v>
      </c>
      <c r="E6" s="35">
        <v>5</v>
      </c>
      <c r="F6" s="55">
        <v>6</v>
      </c>
      <c r="G6" s="55">
        <v>7</v>
      </c>
      <c r="H6" s="55">
        <v>8</v>
      </c>
      <c r="I6" s="35">
        <v>9</v>
      </c>
      <c r="J6" s="55">
        <v>10</v>
      </c>
      <c r="K6" s="56">
        <v>11</v>
      </c>
      <c r="L6" s="55">
        <v>12</v>
      </c>
      <c r="M6" s="55">
        <v>13</v>
      </c>
      <c r="N6" s="62">
        <v>14</v>
      </c>
      <c r="O6" s="55">
        <v>15</v>
      </c>
      <c r="P6" s="55">
        <v>16</v>
      </c>
      <c r="Q6" s="55">
        <v>17</v>
      </c>
      <c r="R6" s="62">
        <v>18</v>
      </c>
      <c r="S6" s="35">
        <v>19</v>
      </c>
    </row>
    <row r="7" spans="1:19" ht="25.5">
      <c r="A7" s="3">
        <v>1</v>
      </c>
      <c r="B7" s="2" t="s">
        <v>3</v>
      </c>
      <c r="C7" s="6">
        <f>'Коэф.масшт.'!C5</f>
        <v>12732</v>
      </c>
      <c r="D7" s="8">
        <f>'Коэф.масшт.'!D5</f>
        <v>0.73229657555765</v>
      </c>
      <c r="E7" s="57">
        <f>((C7*D7/C7)/(C17*D17/C17))*'Расчет доли '!F7/100</f>
        <v>0.3195965759656396</v>
      </c>
      <c r="F7" s="6">
        <f>'Коэф.масшт.'!C5</f>
        <v>12732</v>
      </c>
      <c r="G7" s="40">
        <v>1.02</v>
      </c>
      <c r="H7" s="8">
        <f>'Коэф.масшт.'!D5</f>
        <v>0.73229657555765</v>
      </c>
      <c r="I7" s="58">
        <f>((F7*G7*H7/F7)/(F17*G17*H17/F17))*'Расчет доли '!F9/100</f>
        <v>0.2932544355164154</v>
      </c>
      <c r="J7" s="6">
        <f>'Коэф.масшт.'!C5</f>
        <v>12732</v>
      </c>
      <c r="K7" s="52" t="e">
        <f>#REF!</f>
        <v>#REF!</v>
      </c>
      <c r="L7" s="40">
        <f>G7</f>
        <v>1.02</v>
      </c>
      <c r="M7" s="8">
        <f>'Коэф.масшт.'!D5</f>
        <v>0.73229657555765</v>
      </c>
      <c r="N7" s="63">
        <f>(J7*L7*M7/J7)/(J17*L17*M17/J17)*'Расчет доли '!F8/100</f>
        <v>0.43796065340260204</v>
      </c>
      <c r="O7" s="6">
        <f>'Коэф.масшт.'!C5</f>
        <v>12732</v>
      </c>
      <c r="P7" s="40">
        <f>G7</f>
        <v>1.02</v>
      </c>
      <c r="Q7" s="8">
        <f>'Коэф.масшт.'!D5</f>
        <v>0.73229657555765</v>
      </c>
      <c r="R7" s="63">
        <f>(P7*Q7)/(P17*Q17)*'Расчет доли '!F10/100</f>
        <v>0.10989407089103485</v>
      </c>
      <c r="S7" s="19">
        <f>E7+I7+N7+R7</f>
        <v>1.1607057357756918</v>
      </c>
    </row>
    <row r="8" spans="1:19" ht="25.5">
      <c r="A8" s="3">
        <v>2</v>
      </c>
      <c r="B8" s="2" t="s">
        <v>4</v>
      </c>
      <c r="C8" s="6">
        <f>'Коэф.масшт.'!C6</f>
        <v>7983</v>
      </c>
      <c r="D8" s="8">
        <f>'Коэф.масшт.'!D6</f>
        <v>0.8109983715395216</v>
      </c>
      <c r="E8" s="57">
        <f>((C8*D8/C8)/(C17*D17/C17))*'Расчет доли '!F7/100</f>
        <v>0.35394444178625795</v>
      </c>
      <c r="F8" s="6">
        <f>'Коэф.масшт.'!C6</f>
        <v>7983</v>
      </c>
      <c r="G8" s="40">
        <v>1</v>
      </c>
      <c r="H8" s="8">
        <f>'Коэф.масшт.'!D6</f>
        <v>0.8109983715395216</v>
      </c>
      <c r="I8" s="58">
        <f>((F8*G8*H8/F8)/(F17*G17*H17/F17))*'Расчет доли '!F9/100</f>
        <v>0.3184031801642364</v>
      </c>
      <c r="J8" s="6">
        <f>'Коэф.масшт.'!C6</f>
        <v>7983</v>
      </c>
      <c r="K8" s="52" t="e">
        <f>#REF!</f>
        <v>#REF!</v>
      </c>
      <c r="L8" s="40">
        <f aca="true" t="shared" si="0" ref="L8:L16">G8</f>
        <v>1</v>
      </c>
      <c r="M8" s="8">
        <f>'Коэф.масшт.'!D6</f>
        <v>0.8109983715395216</v>
      </c>
      <c r="N8" s="63">
        <f>(L8*M8)/(L17*M17)*'Расчет доли '!F8/100</f>
        <v>0.475519030375892</v>
      </c>
      <c r="O8" s="6">
        <f>'Коэф.масшт.'!C6</f>
        <v>7983</v>
      </c>
      <c r="P8" s="40">
        <f aca="true" t="shared" si="1" ref="P8:P17">G8</f>
        <v>1</v>
      </c>
      <c r="Q8" s="8">
        <f>'Коэф.масшт.'!D6</f>
        <v>0.8109983715395216</v>
      </c>
      <c r="R8" s="63">
        <f>(P8*Q8)/(P17*Q17)*'Расчет доли '!F10/100</f>
        <v>0.11931830320411602</v>
      </c>
      <c r="S8" s="19">
        <f aca="true" t="shared" si="2" ref="S8:S16">E8+I8+N8+R8</f>
        <v>1.2671849555305024</v>
      </c>
    </row>
    <row r="9" spans="1:19" ht="25.5">
      <c r="A9" s="3">
        <v>3</v>
      </c>
      <c r="B9" s="2" t="s">
        <v>5</v>
      </c>
      <c r="C9" s="6">
        <f>'Коэф.масшт.'!C7</f>
        <v>1762</v>
      </c>
      <c r="D9" s="8">
        <f>'Коэф.масшт.'!D7</f>
        <v>1.5559591373439277</v>
      </c>
      <c r="E9" s="57">
        <f>((C9*D9/C9)/(C17*D17/C17))*'Расчет доли '!F7/100</f>
        <v>0.6790680568987877</v>
      </c>
      <c r="F9" s="6">
        <f>'Коэф.масшт.'!C7</f>
        <v>1762</v>
      </c>
      <c r="G9" s="40">
        <v>1.72</v>
      </c>
      <c r="H9" s="8">
        <f>'Коэф.масшт.'!D7</f>
        <v>1.5559591373439277</v>
      </c>
      <c r="I9" s="58">
        <f>((F9*G9*H9/F9)/(F17*G17*H17/F17))*'Расчет доли '!F9/100</f>
        <v>1.0507128626462805</v>
      </c>
      <c r="J9" s="6">
        <f>'Коэф.масшт.'!C7</f>
        <v>1762</v>
      </c>
      <c r="K9" s="52" t="e">
        <f>#REF!</f>
        <v>#REF!</v>
      </c>
      <c r="L9" s="40">
        <f t="shared" si="0"/>
        <v>1.72</v>
      </c>
      <c r="M9" s="8">
        <f>'Коэф.масшт.'!D7</f>
        <v>1.5559591373439277</v>
      </c>
      <c r="N9" s="63">
        <f>(L9*M9)/(L17*M17)*'Расчет доли '!F8/100</f>
        <v>1.5691864678968332</v>
      </c>
      <c r="O9" s="6">
        <f>'Коэф.масшт.'!C7</f>
        <v>1762</v>
      </c>
      <c r="P9" s="40">
        <f t="shared" si="1"/>
        <v>1.72</v>
      </c>
      <c r="Q9" s="8">
        <f>'Коэф.масшт.'!D7</f>
        <v>1.5559591373439277</v>
      </c>
      <c r="R9" s="63">
        <f>(P9*Q9)/(P17*Q17)*'Расчет доли '!F10/100</f>
        <v>0.3937437932027769</v>
      </c>
      <c r="S9" s="19">
        <f t="shared" si="2"/>
        <v>3.6927111806446784</v>
      </c>
    </row>
    <row r="10" spans="1:19" ht="25.5">
      <c r="A10" s="3">
        <v>4</v>
      </c>
      <c r="B10" s="2" t="s">
        <v>6</v>
      </c>
      <c r="C10" s="6">
        <f>'Коэф.масшт.'!C8</f>
        <v>1484</v>
      </c>
      <c r="D10" s="8">
        <f>'Коэф.масшт.'!D8</f>
        <v>1.7350404312668466</v>
      </c>
      <c r="E10" s="57">
        <f>((C10*D10/C10)/(C17*D17/C17))*'Расчет доли '!F7/100</f>
        <v>0.7572245992992177</v>
      </c>
      <c r="F10" s="6">
        <f>'Коэф.масшт.'!C8</f>
        <v>1484</v>
      </c>
      <c r="G10" s="40">
        <v>1.62</v>
      </c>
      <c r="H10" s="8">
        <f>'Коэф.масшт.'!D8</f>
        <v>1.7350404312668466</v>
      </c>
      <c r="I10" s="58">
        <f>((F10*G10*H10/F10)/(F17*G17*H17/F17))*'Расчет доли '!F9/100</f>
        <v>1.1035246245536912</v>
      </c>
      <c r="J10" s="6">
        <f>'Коэф.масшт.'!C8</f>
        <v>1484</v>
      </c>
      <c r="K10" s="52" t="e">
        <f>#REF!</f>
        <v>#REF!</v>
      </c>
      <c r="L10" s="40">
        <f t="shared" si="0"/>
        <v>1.62</v>
      </c>
      <c r="M10" s="8">
        <f>'Коэф.масшт.'!D8</f>
        <v>1.7350404312668466</v>
      </c>
      <c r="N10" s="63">
        <f>(L10*M10)/(L17*M17)*'Расчет доли '!F8/100</f>
        <v>1.6480581607037355</v>
      </c>
      <c r="O10" s="6">
        <f>'Коэф.масшт.'!C8</f>
        <v>1484</v>
      </c>
      <c r="P10" s="40">
        <f t="shared" si="1"/>
        <v>1.62</v>
      </c>
      <c r="Q10" s="8">
        <f>'Коэф.масшт.'!D8</f>
        <v>1.7350404312668466</v>
      </c>
      <c r="R10" s="63">
        <f>(P10*Q10)/(P17*Q17)*'Расчет доли '!F10/100</f>
        <v>0.4135344555220466</v>
      </c>
      <c r="S10" s="19">
        <f t="shared" si="2"/>
        <v>3.922341840078691</v>
      </c>
    </row>
    <row r="11" spans="1:19" ht="12.75">
      <c r="A11" s="3">
        <v>5</v>
      </c>
      <c r="B11" s="2" t="s">
        <v>7</v>
      </c>
      <c r="C11" s="6">
        <f>'Коэф.масшт.'!C9</f>
        <v>2313</v>
      </c>
      <c r="D11" s="8">
        <f>'Коэф.масшт.'!D9</f>
        <v>1.3282317336792044</v>
      </c>
      <c r="E11" s="57">
        <f>((C11*D11/C11)/(C17*D17/C17))*'Расчет доли '!F7/100</f>
        <v>0.5796808674812115</v>
      </c>
      <c r="F11" s="6">
        <f>'Коэф.масшт.'!C9</f>
        <v>2313</v>
      </c>
      <c r="G11" s="40">
        <v>1.31</v>
      </c>
      <c r="H11" s="8">
        <f>'Коэф.масшт.'!D9</f>
        <v>1.3282317336792044</v>
      </c>
      <c r="I11" s="58">
        <f>((F11*G11*H11/F11)/(F17*G17*H17/F17))*'Расчет доли '!F9/100</f>
        <v>0.683128748367724</v>
      </c>
      <c r="J11" s="6">
        <f>'Коэф.масшт.'!C9</f>
        <v>2313</v>
      </c>
      <c r="K11" s="52" t="e">
        <f>#REF!</f>
        <v>#REF!</v>
      </c>
      <c r="L11" s="40">
        <f t="shared" si="0"/>
        <v>1.31</v>
      </c>
      <c r="M11" s="8">
        <f>'Коэф.масшт.'!D9</f>
        <v>1.3282317336792044</v>
      </c>
      <c r="N11" s="63">
        <f>(L11*M11)/(L17*M17)*'Расчет доли '!F8/100</f>
        <v>1.0202182022119246</v>
      </c>
      <c r="O11" s="6">
        <f>'Коэф.масшт.'!C9</f>
        <v>2313</v>
      </c>
      <c r="P11" s="40">
        <f t="shared" si="1"/>
        <v>1.31</v>
      </c>
      <c r="Q11" s="8">
        <f>'Коэф.масшт.'!D9</f>
        <v>1.3282317336792044</v>
      </c>
      <c r="R11" s="63">
        <f>(P11*Q11)/(P17*Q17)*'Расчет доли '!F10/100</f>
        <v>0.255995442894586</v>
      </c>
      <c r="S11" s="19">
        <f t="shared" si="2"/>
        <v>2.539023260955446</v>
      </c>
    </row>
    <row r="12" spans="1:19" ht="12.75">
      <c r="A12" s="3">
        <v>6</v>
      </c>
      <c r="B12" s="2" t="s">
        <v>8</v>
      </c>
      <c r="C12" s="6">
        <f>'Коэф.масшт.'!C10</f>
        <v>2553</v>
      </c>
      <c r="D12" s="8">
        <f>'Коэф.масшт.'!D10</f>
        <v>1.2597728162945554</v>
      </c>
      <c r="E12" s="57">
        <f>((C12*D12/C12)/(C17*D17/C17))*'Расчет доли '!F7/100</f>
        <v>0.549803306502878</v>
      </c>
      <c r="F12" s="6">
        <f>'Коэф.масшт.'!C10</f>
        <v>2553</v>
      </c>
      <c r="G12" s="40">
        <v>1.03</v>
      </c>
      <c r="H12" s="8">
        <f>'Коэф.масшт.'!D10</f>
        <v>1.2597728162945554</v>
      </c>
      <c r="I12" s="58">
        <f>((F12*G12*H12/F12)/(F17*G17*H17/F17))*'Расчет доли '!F9/100</f>
        <v>0.5094327629020259</v>
      </c>
      <c r="J12" s="6">
        <f>'Коэф.масшт.'!C10</f>
        <v>2553</v>
      </c>
      <c r="K12" s="52" t="e">
        <f>#REF!</f>
        <v>#REF!</v>
      </c>
      <c r="L12" s="40">
        <f t="shared" si="0"/>
        <v>1.03</v>
      </c>
      <c r="M12" s="8">
        <f>'Коэф.масшт.'!D10</f>
        <v>1.2597728162945554</v>
      </c>
      <c r="N12" s="63">
        <f>(L12*M12)/(L17*M17)*'Расчет доли '!F8/100</f>
        <v>0.7608120412991163</v>
      </c>
      <c r="O12" s="6">
        <f>'Коэф.масшт.'!C10</f>
        <v>2553</v>
      </c>
      <c r="P12" s="40">
        <f t="shared" si="1"/>
        <v>1.03</v>
      </c>
      <c r="Q12" s="8">
        <f>'Коэф.масшт.'!D10</f>
        <v>1.2597728162945554</v>
      </c>
      <c r="R12" s="63">
        <f>(P12*Q12)/(P17*Q17)*'Расчет доли '!F10/100</f>
        <v>0.19090466632494363</v>
      </c>
      <c r="S12" s="19">
        <f t="shared" si="2"/>
        <v>2.0109527770289635</v>
      </c>
    </row>
    <row r="13" spans="1:19" ht="25.5">
      <c r="A13" s="3">
        <v>7</v>
      </c>
      <c r="B13" s="2" t="s">
        <v>9</v>
      </c>
      <c r="C13" s="6">
        <f>'Коэф.масшт.'!C11</f>
        <v>3314</v>
      </c>
      <c r="D13" s="8">
        <f>'Коэф.масшт.'!D11</f>
        <v>1.108267954133977</v>
      </c>
      <c r="E13" s="57">
        <f>((C13*D13/C13)/(C17*D17/C17))*'Расчет доли '!F7/100</f>
        <v>0.4836819605826209</v>
      </c>
      <c r="F13" s="6">
        <f>'Коэф.масшт.'!C11</f>
        <v>3314</v>
      </c>
      <c r="G13" s="40">
        <v>1.37</v>
      </c>
      <c r="H13" s="8">
        <f>'Коэф.масшт.'!D11</f>
        <v>1.108267954133977</v>
      </c>
      <c r="I13" s="58">
        <f>((F13*G13*H13/F13)/(F17*G17*H17/F17))*'Расчет доли '!F9/100</f>
        <v>0.5961049901354191</v>
      </c>
      <c r="J13" s="6">
        <f>'Коэф.масшт.'!C11</f>
        <v>3314</v>
      </c>
      <c r="K13" s="52" t="e">
        <f>#REF!</f>
        <v>#REF!</v>
      </c>
      <c r="L13" s="40">
        <f t="shared" si="0"/>
        <v>1.37</v>
      </c>
      <c r="M13" s="8">
        <f>'Коэф.масшт.'!D11</f>
        <v>1.108267954133977</v>
      </c>
      <c r="N13" s="63">
        <f>(L13*M13)/(L17*M17)*'Расчет доли '!F8/100</f>
        <v>0.890252624880233</v>
      </c>
      <c r="O13" s="6">
        <f>'Коэф.масшт.'!C11</f>
        <v>3314</v>
      </c>
      <c r="P13" s="40">
        <f t="shared" si="1"/>
        <v>1.37</v>
      </c>
      <c r="Q13" s="8">
        <f>'Коэф.масшт.'!D11</f>
        <v>1.108267954133977</v>
      </c>
      <c r="R13" s="63">
        <f>(P13*Q13)/(P17*Q17)*'Расчет доли '!F10/100</f>
        <v>0.22338418830420195</v>
      </c>
      <c r="S13" s="19">
        <f t="shared" si="2"/>
        <v>2.1934237639024747</v>
      </c>
    </row>
    <row r="14" spans="1:19" ht="25.5">
      <c r="A14" s="3">
        <v>8</v>
      </c>
      <c r="B14" s="2" t="s">
        <v>10</v>
      </c>
      <c r="C14" s="6">
        <f>'Коэф.масшт.'!C12</f>
        <v>2540</v>
      </c>
      <c r="D14" s="8">
        <f>'Коэф.масшт.'!D12</f>
        <v>1.2631496062992127</v>
      </c>
      <c r="E14" s="57">
        <f>((C14*D14/C14)/(C17*D17/C17))*'Расчет доли '!F7/100</f>
        <v>0.5512770407237729</v>
      </c>
      <c r="F14" s="6">
        <f>'Коэф.масшт.'!C12</f>
        <v>2540</v>
      </c>
      <c r="G14" s="40">
        <v>1.03</v>
      </c>
      <c r="H14" s="8">
        <f>'Коэф.масшт.'!D12</f>
        <v>1.2631496062992127</v>
      </c>
      <c r="I14" s="58">
        <f>((F14*G14*H14/F14)/(F17*G17*H17/F17))*'Расчет доли '!F9/100</f>
        <v>0.5107982848751641</v>
      </c>
      <c r="J14" s="6">
        <f>'Коэф.масшт.'!C12</f>
        <v>2540</v>
      </c>
      <c r="K14" s="52" t="e">
        <f>#REF!</f>
        <v>#REF!</v>
      </c>
      <c r="L14" s="40">
        <f t="shared" si="0"/>
        <v>1.03</v>
      </c>
      <c r="M14" s="8">
        <f>'Коэф.масшт.'!D12</f>
        <v>1.2631496062992127</v>
      </c>
      <c r="N14" s="63">
        <f>(L14*M14)/(L17*M17)*'Расчет доли '!F8/100</f>
        <v>0.7628513792362837</v>
      </c>
      <c r="O14" s="6">
        <f>'Коэф.масшт.'!C12</f>
        <v>2540</v>
      </c>
      <c r="P14" s="40">
        <f t="shared" si="1"/>
        <v>1.03</v>
      </c>
      <c r="Q14" s="8">
        <f>'Коэф.масшт.'!D12</f>
        <v>1.2631496062992127</v>
      </c>
      <c r="R14" s="63">
        <f>(P14*Q14)/(P17*Q17)*'Расчет доли '!F10/100</f>
        <v>0.19141638158086147</v>
      </c>
      <c r="S14" s="19">
        <f t="shared" si="2"/>
        <v>2.0163430864160823</v>
      </c>
    </row>
    <row r="15" spans="1:19" ht="25.5">
      <c r="A15" s="3">
        <v>9</v>
      </c>
      <c r="B15" s="2" t="s">
        <v>11</v>
      </c>
      <c r="C15" s="6">
        <f>'Коэф.масшт.'!C13</f>
        <v>2747</v>
      </c>
      <c r="D15" s="8">
        <f>'Коэф.масшт.'!D13</f>
        <v>1.2131780123771387</v>
      </c>
      <c r="E15" s="57">
        <f>((C15*D15/C15)/(C17*D17/C17))*'Расчет доли '!F7/100</f>
        <v>0.5294679119553113</v>
      </c>
      <c r="F15" s="6">
        <f>'Коэф.масшт.'!C13</f>
        <v>2747</v>
      </c>
      <c r="G15" s="40">
        <v>1</v>
      </c>
      <c r="H15" s="8">
        <f>'Коэф.масшт.'!D13</f>
        <v>1.2131780123771387</v>
      </c>
      <c r="I15" s="58">
        <f>((F15*G15*H15/F15)/(F17*G17*H17/F17))*'Расчет доли '!F9/100</f>
        <v>0.47630149554176276</v>
      </c>
      <c r="J15" s="6">
        <f>'Коэф.масшт.'!C13</f>
        <v>2747</v>
      </c>
      <c r="K15" s="52" t="e">
        <f>#REF!</f>
        <v>#REF!</v>
      </c>
      <c r="L15" s="40">
        <f t="shared" si="0"/>
        <v>1</v>
      </c>
      <c r="M15" s="8">
        <f>'Коэф.масшт.'!D13</f>
        <v>1.2131780123771387</v>
      </c>
      <c r="N15" s="63">
        <f>(L15*M15)/(L17*M17)*'Расчет доли '!F8/100</f>
        <v>0.7113321707709693</v>
      </c>
      <c r="O15" s="6">
        <f>'Коэф.масшт.'!C13</f>
        <v>2747</v>
      </c>
      <c r="P15" s="40">
        <f t="shared" si="1"/>
        <v>1</v>
      </c>
      <c r="Q15" s="8">
        <f>'Коэф.масшт.'!D13</f>
        <v>1.2131780123771387</v>
      </c>
      <c r="R15" s="63">
        <f>(P15*Q15)/(P17*Q17)*'Расчет доли '!F10/100</f>
        <v>0.17848906607123574</v>
      </c>
      <c r="S15" s="19">
        <f t="shared" si="2"/>
        <v>1.895590644339279</v>
      </c>
    </row>
    <row r="16" spans="1:19" ht="25.5">
      <c r="A16" s="4">
        <v>10</v>
      </c>
      <c r="B16" s="2" t="s">
        <v>12</v>
      </c>
      <c r="C16" s="6">
        <f>'Коэф.масшт.'!C14</f>
        <v>4682</v>
      </c>
      <c r="D16" s="8">
        <f>'Коэф.масшт.'!D14</f>
        <v>0.9597607859888937</v>
      </c>
      <c r="E16" s="57">
        <f>((C16*D16/C16)/(C17*D17/C17))*'Расчет доли '!F7/100</f>
        <v>0.41886889982321607</v>
      </c>
      <c r="F16" s="6">
        <f>'Коэф.масшт.'!C14</f>
        <v>4682</v>
      </c>
      <c r="G16" s="40">
        <v>1.04</v>
      </c>
      <c r="H16" s="8">
        <f>'Коэф.масшт.'!D14</f>
        <v>0.9597607859888937</v>
      </c>
      <c r="I16" s="58">
        <f>((F16*G16*H16/F16)/(F17*G17*H17/F17))*'Расчет доли '!F9/100</f>
        <v>0.39188059195570746</v>
      </c>
      <c r="J16" s="6">
        <f>'Коэф.масшт.'!C14</f>
        <v>4682</v>
      </c>
      <c r="K16" s="52" t="e">
        <f>#REF!</f>
        <v>#REF!</v>
      </c>
      <c r="L16" s="40">
        <f t="shared" si="0"/>
        <v>1.04</v>
      </c>
      <c r="M16" s="8">
        <f>'Коэф.масшт.'!D14</f>
        <v>0.9597607859888937</v>
      </c>
      <c r="N16" s="63">
        <f>(L16*M16)/(L17*M17)*'Расчет доли '!F8/100</f>
        <v>0.5852538250836209</v>
      </c>
      <c r="O16" s="6">
        <f>'Коэф.масшт.'!C14</f>
        <v>4682</v>
      </c>
      <c r="P16" s="40">
        <f t="shared" si="1"/>
        <v>1.04</v>
      </c>
      <c r="Q16" s="8">
        <f>'Коэф.масшт.'!D14</f>
        <v>0.9597607859888937</v>
      </c>
      <c r="R16" s="63">
        <f>(P16*Q16)/(P17*Q17)*'Расчет доли '!F10/100</f>
        <v>0.1468532043764793</v>
      </c>
      <c r="S16" s="19">
        <f t="shared" si="2"/>
        <v>1.542856521239024</v>
      </c>
    </row>
    <row r="17" spans="1:19" ht="19.5" customHeight="1">
      <c r="A17" s="3"/>
      <c r="B17" s="11" t="s">
        <v>71</v>
      </c>
      <c r="C17" s="16">
        <f>SUM(C7:C16)</f>
        <v>42110</v>
      </c>
      <c r="D17" s="14">
        <f>'Коэф.масшт.'!D15</f>
        <v>0.64</v>
      </c>
      <c r="E17" s="57"/>
      <c r="F17" s="48">
        <f>SUM(F7:F16)</f>
        <v>42110</v>
      </c>
      <c r="G17" s="57">
        <v>1</v>
      </c>
      <c r="H17" s="14">
        <f>'Коэф.масшт.'!D15</f>
        <v>0.64</v>
      </c>
      <c r="I17" s="58"/>
      <c r="J17" s="48">
        <f>SUM(J7:J16)</f>
        <v>42110</v>
      </c>
      <c r="K17" s="58">
        <v>1</v>
      </c>
      <c r="L17" s="57">
        <v>1</v>
      </c>
      <c r="M17" s="14">
        <f>'Коэф.масшт.'!D15</f>
        <v>0.64</v>
      </c>
      <c r="N17" s="63"/>
      <c r="O17" s="48">
        <f>SUM(O7:O16)</f>
        <v>42110</v>
      </c>
      <c r="P17" s="57">
        <f t="shared" si="1"/>
        <v>1</v>
      </c>
      <c r="Q17" s="14">
        <f>'Коэф.масшт.'!D15</f>
        <v>0.64</v>
      </c>
      <c r="R17" s="63"/>
      <c r="S17" s="9"/>
    </row>
    <row r="18" spans="2:18" ht="12.75">
      <c r="B18" s="1"/>
      <c r="C18" s="1"/>
      <c r="D18" s="1"/>
      <c r="E18" s="68"/>
      <c r="F18" s="59"/>
      <c r="G18" s="59"/>
      <c r="H18" s="59"/>
      <c r="I18" s="66"/>
      <c r="J18" s="60"/>
      <c r="K18" s="45"/>
      <c r="L18" s="60"/>
      <c r="M18" s="60"/>
      <c r="N18" s="64"/>
      <c r="O18" s="46"/>
      <c r="P18" s="46"/>
      <c r="Q18" s="46"/>
      <c r="R18" s="64"/>
    </row>
    <row r="19" spans="2:4" ht="12.75">
      <c r="B19" s="149" t="s">
        <v>96</v>
      </c>
      <c r="C19" s="149"/>
      <c r="D19" s="149"/>
    </row>
  </sheetData>
  <mergeCells count="9">
    <mergeCell ref="B19:D19"/>
    <mergeCell ref="S4:S5"/>
    <mergeCell ref="A2:O2"/>
    <mergeCell ref="A4:A5"/>
    <mergeCell ref="B4:B5"/>
    <mergeCell ref="C4:E4"/>
    <mergeCell ref="F4:I4"/>
    <mergeCell ref="J4:N4"/>
    <mergeCell ref="O4:R4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="75" zoomScaleSheetLayoutView="75" workbookViewId="0" topLeftCell="A1">
      <selection activeCell="K15" sqref="K15"/>
    </sheetView>
  </sheetViews>
  <sheetFormatPr defaultColWidth="9.00390625" defaultRowHeight="12.75"/>
  <cols>
    <col min="1" max="1" width="34.375" style="46" customWidth="1"/>
    <col min="2" max="2" width="9.875" style="46" customWidth="1"/>
    <col min="3" max="3" width="10.75390625" style="118" customWidth="1"/>
    <col min="4" max="4" width="12.25390625" style="64" customWidth="1"/>
    <col min="5" max="5" width="9.375" style="46" customWidth="1"/>
    <col min="6" max="6" width="9.00390625" style="118" customWidth="1"/>
    <col min="7" max="7" width="10.625" style="64" customWidth="1"/>
    <col min="8" max="11" width="9.125" style="46" customWidth="1"/>
  </cols>
  <sheetData>
    <row r="2" spans="1:11" ht="57.75" customHeight="1">
      <c r="A2" s="159" t="s">
        <v>171</v>
      </c>
      <c r="B2" s="159"/>
      <c r="C2" s="159"/>
      <c r="D2" s="159"/>
      <c r="E2" s="159"/>
      <c r="F2" s="159"/>
      <c r="G2" s="159"/>
      <c r="H2" s="159"/>
      <c r="I2" s="159"/>
      <c r="J2" s="159"/>
      <c r="K2" s="129"/>
    </row>
    <row r="3" spans="2:12" ht="32.25" customHeight="1">
      <c r="B3" s="160" t="s">
        <v>113</v>
      </c>
      <c r="C3" s="160"/>
      <c r="D3" s="160"/>
      <c r="E3" s="162" t="s">
        <v>115</v>
      </c>
      <c r="F3" s="163"/>
      <c r="G3" s="164"/>
      <c r="H3" s="160" t="s">
        <v>108</v>
      </c>
      <c r="I3" s="160"/>
      <c r="J3" s="160"/>
      <c r="K3" s="130"/>
      <c r="L3" s="91"/>
    </row>
    <row r="4" spans="1:12" ht="121.5" customHeight="1">
      <c r="A4" s="111" t="s">
        <v>1</v>
      </c>
      <c r="B4" s="112" t="s">
        <v>84</v>
      </c>
      <c r="C4" s="113" t="s">
        <v>85</v>
      </c>
      <c r="D4" s="114" t="s">
        <v>86</v>
      </c>
      <c r="E4" s="112" t="s">
        <v>84</v>
      </c>
      <c r="F4" s="113" t="s">
        <v>85</v>
      </c>
      <c r="G4" s="114" t="s">
        <v>116</v>
      </c>
      <c r="H4" s="36" t="s">
        <v>84</v>
      </c>
      <c r="I4" s="115" t="s">
        <v>85</v>
      </c>
      <c r="J4" s="116" t="s">
        <v>86</v>
      </c>
      <c r="K4" s="134" t="s">
        <v>153</v>
      </c>
      <c r="L4">
        <v>2016</v>
      </c>
    </row>
    <row r="5" spans="1:11" ht="12.75">
      <c r="A5" s="55">
        <v>1</v>
      </c>
      <c r="B5" s="55">
        <v>2</v>
      </c>
      <c r="C5" s="97">
        <v>3</v>
      </c>
      <c r="D5" s="117">
        <v>4</v>
      </c>
      <c r="E5" s="55"/>
      <c r="F5" s="97"/>
      <c r="G5" s="117"/>
      <c r="H5" s="4"/>
      <c r="I5" s="4"/>
      <c r="J5" s="4"/>
      <c r="K5" s="131"/>
    </row>
    <row r="6" spans="1:12" ht="25.5" customHeight="1">
      <c r="A6" s="96" t="s">
        <v>3</v>
      </c>
      <c r="B6" s="93">
        <f>ИДП!D4</f>
        <v>1.4747965695210243</v>
      </c>
      <c r="C6" s="93">
        <f>ИБР!S7</f>
        <v>1.1607057357756918</v>
      </c>
      <c r="D6" s="63">
        <f>B6/C6</f>
        <v>1.2706033269797083</v>
      </c>
      <c r="E6" s="127">
        <f>ИДП!G4</f>
        <v>1.4534572557959096</v>
      </c>
      <c r="F6" s="93">
        <f>ИБР!S7</f>
        <v>1.1607057357756918</v>
      </c>
      <c r="G6" s="63">
        <f>E6/F6</f>
        <v>1.2522185520385785</v>
      </c>
      <c r="H6" s="93">
        <f>ИДП!J4</f>
        <v>1.4250554925465952</v>
      </c>
      <c r="I6" s="93">
        <f>ИБР!S7</f>
        <v>1.1607057357756918</v>
      </c>
      <c r="J6" s="63">
        <f>H6/I6</f>
        <v>1.2277491603797757</v>
      </c>
      <c r="K6" s="132">
        <v>1.1448975585606942</v>
      </c>
      <c r="L6" s="34">
        <v>2.109186644198189</v>
      </c>
    </row>
    <row r="7" spans="1:12" ht="17.25" customHeight="1">
      <c r="A7" s="96" t="s">
        <v>4</v>
      </c>
      <c r="B7" s="93">
        <f>ИДП!D5</f>
        <v>0.4259463883068193</v>
      </c>
      <c r="C7" s="93">
        <f>ИБР!S8</f>
        <v>1.2671849555305024</v>
      </c>
      <c r="D7" s="63">
        <f>B7/C7</f>
        <v>0.33613592589449454</v>
      </c>
      <c r="E7" s="127">
        <f>ИДП!G5</f>
        <v>0.43318727801634943</v>
      </c>
      <c r="F7" s="93">
        <f>ИБР!S8</f>
        <v>1.2671849555305024</v>
      </c>
      <c r="G7" s="63">
        <f aca="true" t="shared" si="0" ref="G7:G15">E7/F7</f>
        <v>0.34185007967917136</v>
      </c>
      <c r="H7" s="93">
        <f>ИДП!J5</f>
        <v>0.4258931487664753</v>
      </c>
      <c r="I7" s="93">
        <f>ИБР!S8</f>
        <v>1.2671849555305024</v>
      </c>
      <c r="J7" s="63">
        <f aca="true" t="shared" si="1" ref="J7:J15">H7/I7</f>
        <v>0.33609391186953974</v>
      </c>
      <c r="K7" s="132">
        <v>0.31494975691613897</v>
      </c>
      <c r="L7" s="34">
        <v>0.45797258432292487</v>
      </c>
    </row>
    <row r="8" spans="1:12" ht="15.75" customHeight="1">
      <c r="A8" s="96" t="s">
        <v>5</v>
      </c>
      <c r="B8" s="93">
        <f>ИДП!D6</f>
        <v>0.5564888159742538</v>
      </c>
      <c r="C8" s="93">
        <f>ИБР!S9</f>
        <v>3.6927111806446784</v>
      </c>
      <c r="D8" s="63">
        <f aca="true" t="shared" si="2" ref="D8:D14">B8/C8</f>
        <v>0.15069925286631847</v>
      </c>
      <c r="E8" s="127">
        <f>ИДП!G6</f>
        <v>0.6067642227385857</v>
      </c>
      <c r="F8" s="93">
        <f>ИБР!S9</f>
        <v>3.6927111806446784</v>
      </c>
      <c r="G8" s="63">
        <f t="shared" si="0"/>
        <v>0.16431402106910944</v>
      </c>
      <c r="H8" s="93">
        <f>ИДП!J6</f>
        <v>0.7906025185116029</v>
      </c>
      <c r="I8" s="93">
        <f>ИБР!S9</f>
        <v>3.6927111806446784</v>
      </c>
      <c r="J8" s="63">
        <f t="shared" si="1"/>
        <v>0.21409811919641614</v>
      </c>
      <c r="K8" s="132">
        <v>0.26888225006215566</v>
      </c>
      <c r="L8" s="34">
        <v>0.36068126453529636</v>
      </c>
    </row>
    <row r="9" spans="1:12" ht="17.25" customHeight="1">
      <c r="A9" s="96" t="s">
        <v>6</v>
      </c>
      <c r="B9" s="93">
        <f>ИДП!D7</f>
        <v>1.342487177570043</v>
      </c>
      <c r="C9" s="93">
        <f>ИБР!S10</f>
        <v>3.922341840078691</v>
      </c>
      <c r="D9" s="63">
        <f t="shared" si="2"/>
        <v>0.34226674581303446</v>
      </c>
      <c r="E9" s="127">
        <f>ИДП!G7</f>
        <v>1.363875501281418</v>
      </c>
      <c r="F9" s="93">
        <f>ИБР!S10</f>
        <v>3.922341840078691</v>
      </c>
      <c r="G9" s="63">
        <f t="shared" si="0"/>
        <v>0.3477196932060505</v>
      </c>
      <c r="H9" s="93">
        <f>ИДП!J7</f>
        <v>1.3372242399976986</v>
      </c>
      <c r="I9" s="93">
        <f>ИБР!S10</f>
        <v>3.922341840078691</v>
      </c>
      <c r="J9" s="63">
        <f t="shared" si="1"/>
        <v>0.3409249612906944</v>
      </c>
      <c r="K9" s="132">
        <v>0.3909385822661926</v>
      </c>
      <c r="L9" s="34">
        <v>0.5099260378704683</v>
      </c>
    </row>
    <row r="10" spans="1:12" ht="18" customHeight="1">
      <c r="A10" s="96" t="s">
        <v>7</v>
      </c>
      <c r="B10" s="93">
        <f>ИДП!D8</f>
        <v>0.5872017737784131</v>
      </c>
      <c r="C10" s="93">
        <f>ИБР!S11</f>
        <v>2.539023260955446</v>
      </c>
      <c r="D10" s="63">
        <f t="shared" si="2"/>
        <v>0.23127073422613956</v>
      </c>
      <c r="E10" s="127">
        <f>ИДП!G8</f>
        <v>0.6130540662783026</v>
      </c>
      <c r="F10" s="93">
        <f>ИБР!S11</f>
        <v>2.539023260955446</v>
      </c>
      <c r="G10" s="63">
        <f t="shared" si="0"/>
        <v>0.24145271754919156</v>
      </c>
      <c r="H10" s="93">
        <f>ИДП!J8</f>
        <v>0.6781852893434848</v>
      </c>
      <c r="I10" s="93">
        <f>ИБР!S11</f>
        <v>2.539023260955446</v>
      </c>
      <c r="J10" s="63">
        <f t="shared" si="1"/>
        <v>0.26710479567969003</v>
      </c>
      <c r="K10" s="132">
        <v>0.2901312301132339</v>
      </c>
      <c r="L10" s="34">
        <v>0.3871612869131756</v>
      </c>
    </row>
    <row r="11" spans="1:12" ht="19.5" customHeight="1">
      <c r="A11" s="96" t="s">
        <v>8</v>
      </c>
      <c r="B11" s="93">
        <f>ИДП!D9</f>
        <v>0.7012727202105123</v>
      </c>
      <c r="C11" s="93">
        <f>ИБР!S12</f>
        <v>2.0109527770289635</v>
      </c>
      <c r="D11" s="63">
        <f t="shared" si="2"/>
        <v>0.34872659777053133</v>
      </c>
      <c r="E11" s="127">
        <f>ИДП!G9</f>
        <v>0.7116848755310796</v>
      </c>
      <c r="F11" s="93">
        <f>ИБР!S12</f>
        <v>2.0109527770289635</v>
      </c>
      <c r="G11" s="63">
        <f t="shared" si="0"/>
        <v>0.35390432021111023</v>
      </c>
      <c r="H11" s="93">
        <f>ИДП!J9</f>
        <v>0.6977779613357373</v>
      </c>
      <c r="I11" s="93">
        <f>ИБР!S12</f>
        <v>2.0109527770289635</v>
      </c>
      <c r="J11" s="63">
        <f t="shared" si="1"/>
        <v>0.3469887355418925</v>
      </c>
      <c r="K11" s="132">
        <v>0.3134621232745603</v>
      </c>
      <c r="L11" s="34">
        <v>0.41244712999361405</v>
      </c>
    </row>
    <row r="12" spans="1:12" ht="18" customHeight="1">
      <c r="A12" s="96" t="s">
        <v>9</v>
      </c>
      <c r="B12" s="93">
        <f>ИДП!D10</f>
        <v>0.566570892616219</v>
      </c>
      <c r="C12" s="93">
        <f>ИБР!S13</f>
        <v>2.1934237639024747</v>
      </c>
      <c r="D12" s="63">
        <f t="shared" si="2"/>
        <v>0.2583043468117592</v>
      </c>
      <c r="E12" s="127">
        <f>ИДП!G10</f>
        <v>0.586377956383103</v>
      </c>
      <c r="F12" s="93">
        <f>ИБР!S13</f>
        <v>2.1934237639024747</v>
      </c>
      <c r="G12" s="63">
        <f t="shared" si="0"/>
        <v>0.26733455068428574</v>
      </c>
      <c r="H12" s="93">
        <f>ИДП!J10</f>
        <v>0.6248839978602702</v>
      </c>
      <c r="I12" s="93">
        <f>ИБР!S13</f>
        <v>2.1934237639024747</v>
      </c>
      <c r="J12" s="63">
        <f t="shared" si="1"/>
        <v>0.2848897728492259</v>
      </c>
      <c r="K12" s="132">
        <v>0.3038559125052308</v>
      </c>
      <c r="L12" s="34">
        <v>0.4142870881261672</v>
      </c>
    </row>
    <row r="13" spans="1:12" ht="28.5" customHeight="1">
      <c r="A13" s="96" t="s">
        <v>10</v>
      </c>
      <c r="B13" s="93">
        <f>ИДП!D11</f>
        <v>0.5094718725948196</v>
      </c>
      <c r="C13" s="93">
        <f>ИБР!S14</f>
        <v>2.0163430864160823</v>
      </c>
      <c r="D13" s="63">
        <f t="shared" si="2"/>
        <v>0.25267122248544144</v>
      </c>
      <c r="E13" s="127">
        <f>ИДП!G11</f>
        <v>0.5281637877988132</v>
      </c>
      <c r="F13" s="93">
        <f>ИБР!S14</f>
        <v>2.0163430864160823</v>
      </c>
      <c r="G13" s="63">
        <f t="shared" si="0"/>
        <v>0.26194142820088706</v>
      </c>
      <c r="H13" s="93">
        <f>ИДП!J11</f>
        <v>0.5669630742962559</v>
      </c>
      <c r="I13" s="93">
        <f>ИБР!S14</f>
        <v>2.0163430864160823</v>
      </c>
      <c r="J13" s="63">
        <f t="shared" si="1"/>
        <v>0.28118383132108515</v>
      </c>
      <c r="K13" s="132">
        <v>0.2865498163661336</v>
      </c>
      <c r="L13" s="34">
        <v>0.3894980587776183</v>
      </c>
    </row>
    <row r="14" spans="1:12" ht="20.25" customHeight="1">
      <c r="A14" s="96" t="s">
        <v>11</v>
      </c>
      <c r="B14" s="93">
        <f>ИДП!D12</f>
        <v>0.728680630655502</v>
      </c>
      <c r="C14" s="93">
        <f>ИБР!S15</f>
        <v>1.895590644339279</v>
      </c>
      <c r="D14" s="63">
        <f t="shared" si="2"/>
        <v>0.384408222751853</v>
      </c>
      <c r="E14" s="127">
        <f>ИДП!G12</f>
        <v>0.735615493109605</v>
      </c>
      <c r="F14" s="93">
        <f>ИБР!S15</f>
        <v>1.895590644339279</v>
      </c>
      <c r="G14" s="63">
        <f t="shared" si="0"/>
        <v>0.38806664049875006</v>
      </c>
      <c r="H14" s="93">
        <f>ИДП!J12</f>
        <v>0.7212409547497647</v>
      </c>
      <c r="I14" s="93">
        <f>ИБР!S15</f>
        <v>1.895590644339279</v>
      </c>
      <c r="J14" s="63">
        <f t="shared" si="1"/>
        <v>0.3804834956869911</v>
      </c>
      <c r="K14" s="132">
        <v>0.3225527748937234</v>
      </c>
      <c r="L14" s="34">
        <v>0.4322361998742583</v>
      </c>
    </row>
    <row r="15" spans="1:12" ht="18.75" customHeight="1">
      <c r="A15" s="96" t="s">
        <v>12</v>
      </c>
      <c r="B15" s="93">
        <f>ИДП!D13</f>
        <v>1.8449100062720702</v>
      </c>
      <c r="C15" s="93">
        <f>ИБР!S16</f>
        <v>1.542856521239024</v>
      </c>
      <c r="D15" s="63">
        <f>B15/C15</f>
        <v>1.1957754858439305</v>
      </c>
      <c r="E15" s="127">
        <f>ИДП!G13</f>
        <v>1.8182154002280453</v>
      </c>
      <c r="F15" s="93">
        <f>ИБР!S16</f>
        <v>1.542856521239024</v>
      </c>
      <c r="G15" s="63">
        <f t="shared" si="0"/>
        <v>1.1784734193999378</v>
      </c>
      <c r="H15" s="93">
        <f>ИДП!J13</f>
        <v>1.782685959559867</v>
      </c>
      <c r="I15" s="93">
        <f>ИБР!S16</f>
        <v>1.542856521239024</v>
      </c>
      <c r="J15" s="63">
        <f t="shared" si="1"/>
        <v>1.1554450689479816</v>
      </c>
      <c r="K15" s="132">
        <v>1.3047711111850335</v>
      </c>
      <c r="L15" s="34">
        <v>2.23256793455695</v>
      </c>
    </row>
    <row r="16" spans="1:11" ht="18.75" customHeight="1">
      <c r="A16" s="47" t="s">
        <v>71</v>
      </c>
      <c r="B16" s="48"/>
      <c r="C16" s="93"/>
      <c r="D16" s="63"/>
      <c r="E16" s="127">
        <f>ИДП!G14</f>
        <v>0</v>
      </c>
      <c r="F16" s="93"/>
      <c r="G16" s="63"/>
      <c r="H16" s="93"/>
      <c r="I16" s="93"/>
      <c r="J16" s="93"/>
      <c r="K16" s="133"/>
    </row>
    <row r="17" spans="1:11" ht="24" customHeight="1">
      <c r="A17" s="88" t="s">
        <v>97</v>
      </c>
      <c r="D17" s="64">
        <f>(D6+D8+D10+D15)/4</f>
        <v>0.7120871999790241</v>
      </c>
      <c r="H17" s="118"/>
      <c r="I17" s="118"/>
      <c r="J17" s="64"/>
      <c r="K17" s="64"/>
    </row>
    <row r="18" spans="1:5" ht="18.75" customHeight="1">
      <c r="A18" s="161" t="s">
        <v>96</v>
      </c>
      <c r="B18" s="161"/>
      <c r="C18" s="161"/>
      <c r="D18" s="118"/>
      <c r="E18" s="119"/>
    </row>
  </sheetData>
  <mergeCells count="5">
    <mergeCell ref="A2:J2"/>
    <mergeCell ref="H3:J3"/>
    <mergeCell ref="A18:C18"/>
    <mergeCell ref="B3:D3"/>
    <mergeCell ref="E3:G3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0"/>
  <sheetViews>
    <sheetView view="pageBreakPreview" zoomScale="75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27" sqref="M27"/>
    </sheetView>
  </sheetViews>
  <sheetFormatPr defaultColWidth="9.00390625" defaultRowHeight="12.75"/>
  <cols>
    <col min="1" max="1" width="6.25390625" style="0" customWidth="1"/>
    <col min="2" max="2" width="23.125" style="0" customWidth="1"/>
    <col min="3" max="3" width="11.25390625" style="0" customWidth="1"/>
    <col min="4" max="4" width="12.75390625" style="0" customWidth="1"/>
    <col min="5" max="5" width="12.125" style="0" customWidth="1"/>
    <col min="6" max="6" width="12.00390625" style="0" customWidth="1"/>
    <col min="7" max="7" width="11.625" style="0" customWidth="1"/>
    <col min="8" max="8" width="9.25390625" style="0" bestFit="1" customWidth="1"/>
    <col min="9" max="9" width="11.625" style="0" customWidth="1"/>
    <col min="10" max="10" width="11.75390625" style="0" customWidth="1"/>
    <col min="11" max="12" width="9.25390625" style="0" bestFit="1" customWidth="1"/>
    <col min="13" max="13" width="12.00390625" style="0" customWidth="1"/>
    <col min="14" max="14" width="12.25390625" style="0" customWidth="1"/>
  </cols>
  <sheetData>
    <row r="2" spans="1:14" ht="12.75" customHeight="1">
      <c r="A2" s="165" t="s">
        <v>163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34.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5" spans="1:14" ht="25.5" customHeight="1">
      <c r="A5" s="166" t="s">
        <v>0</v>
      </c>
      <c r="B5" s="166" t="s">
        <v>1</v>
      </c>
      <c r="C5" s="141" t="s">
        <v>110</v>
      </c>
      <c r="D5" s="141"/>
      <c r="E5" s="141"/>
      <c r="F5" s="141" t="s">
        <v>101</v>
      </c>
      <c r="G5" s="141"/>
      <c r="H5" s="141"/>
      <c r="I5" s="141"/>
      <c r="J5" s="141" t="s">
        <v>106</v>
      </c>
      <c r="K5" s="141"/>
      <c r="L5" s="141"/>
      <c r="M5" s="141"/>
      <c r="N5" s="141"/>
    </row>
    <row r="6" spans="1:15" ht="38.25">
      <c r="A6" s="166"/>
      <c r="B6" s="166"/>
      <c r="C6" s="30" t="s">
        <v>83</v>
      </c>
      <c r="D6" s="2" t="s">
        <v>102</v>
      </c>
      <c r="E6" s="11" t="s">
        <v>103</v>
      </c>
      <c r="F6" s="30" t="s">
        <v>83</v>
      </c>
      <c r="G6" s="86" t="s">
        <v>102</v>
      </c>
      <c r="H6" s="2" t="s">
        <v>100</v>
      </c>
      <c r="I6" s="11" t="s">
        <v>103</v>
      </c>
      <c r="J6" s="30" t="s">
        <v>83</v>
      </c>
      <c r="K6" s="86" t="s">
        <v>100</v>
      </c>
      <c r="L6" s="86" t="s">
        <v>107</v>
      </c>
      <c r="M6" s="2" t="s">
        <v>102</v>
      </c>
      <c r="N6" s="11" t="s">
        <v>103</v>
      </c>
      <c r="O6" s="1"/>
    </row>
    <row r="7" spans="1:14" s="29" customFormat="1" ht="12.75">
      <c r="A7" s="15">
        <v>1</v>
      </c>
      <c r="B7" s="15">
        <v>2</v>
      </c>
      <c r="C7" s="33">
        <v>3</v>
      </c>
      <c r="D7" s="32"/>
      <c r="E7" s="32"/>
      <c r="F7" s="33">
        <v>3</v>
      </c>
      <c r="G7" s="15"/>
      <c r="H7" s="32"/>
      <c r="I7" s="32"/>
      <c r="J7" s="33">
        <v>3</v>
      </c>
      <c r="K7" s="15"/>
      <c r="L7" s="15"/>
      <c r="M7" s="32"/>
      <c r="N7" s="32"/>
    </row>
    <row r="8" spans="1:14" ht="25.5">
      <c r="A8" s="3">
        <v>1</v>
      </c>
      <c r="B8" s="2" t="s">
        <v>3</v>
      </c>
      <c r="C8" s="77">
        <f>'Налоговый потен'!M7</f>
        <v>34319.74251648658</v>
      </c>
      <c r="D8" s="77">
        <f>'субв от числ уточ'!D6</f>
        <v>4005.186058418428</v>
      </c>
      <c r="E8" s="77">
        <f>C8+D8</f>
        <v>38324.928574905</v>
      </c>
      <c r="F8" s="77">
        <f>C8</f>
        <v>34319.74251648658</v>
      </c>
      <c r="G8" s="90">
        <f>D8</f>
        <v>4005.186058418428</v>
      </c>
      <c r="H8" s="77">
        <f>'Дотации '!J5</f>
        <v>0</v>
      </c>
      <c r="I8" s="77">
        <f>F8+G8+H8</f>
        <v>38324.928574905</v>
      </c>
      <c r="J8" s="77">
        <f>'Налоговый потен'!M7</f>
        <v>34319.74251648658</v>
      </c>
      <c r="K8" s="90">
        <f>'Дотации '!J5</f>
        <v>0</v>
      </c>
      <c r="L8" s="90">
        <f>'Дотации '!N5</f>
        <v>0</v>
      </c>
      <c r="M8" s="77">
        <f>'субв от числ уточ'!D6</f>
        <v>4005.186058418428</v>
      </c>
      <c r="N8" s="77">
        <f>J8+K8+M8+L8</f>
        <v>38324.928574905</v>
      </c>
    </row>
    <row r="9" spans="1:14" ht="25.5">
      <c r="A9" s="3">
        <v>2</v>
      </c>
      <c r="B9" s="2" t="s">
        <v>4</v>
      </c>
      <c r="C9" s="77">
        <f>'Налоговый потен'!M8</f>
        <v>4428.964005693803</v>
      </c>
      <c r="D9" s="77">
        <f>'субв от числ уточ'!D7</f>
        <v>2511.2629833768697</v>
      </c>
      <c r="E9" s="77">
        <f aca="true" t="shared" si="0" ref="E9:E17">C9+D9</f>
        <v>6940.226989070673</v>
      </c>
      <c r="F9" s="77">
        <f aca="true" t="shared" si="1" ref="F9:F17">C9</f>
        <v>4428.964005693803</v>
      </c>
      <c r="G9" s="90">
        <f aca="true" t="shared" si="2" ref="G9:G17">D9</f>
        <v>2511.2629833768697</v>
      </c>
      <c r="H9" s="77">
        <f>'Дотации '!J6</f>
        <v>221.60754343604106</v>
      </c>
      <c r="I9" s="77">
        <f aca="true" t="shared" si="3" ref="I9:I17">F9+G9+H9</f>
        <v>7161.834532506714</v>
      </c>
      <c r="J9" s="77">
        <f>'Налоговый потен'!M8</f>
        <v>4428.964005693803</v>
      </c>
      <c r="K9" s="90">
        <f>'Дотации '!J6</f>
        <v>221.60754343604106</v>
      </c>
      <c r="L9" s="90">
        <f>'Дотации '!N6</f>
        <v>19.74097184750398</v>
      </c>
      <c r="M9" s="77">
        <f>'субв от числ уточ'!D7</f>
        <v>2511.2629833768697</v>
      </c>
      <c r="N9" s="77">
        <f aca="true" t="shared" si="4" ref="N9:N17">J9+K9+M9+L9</f>
        <v>7181.575504354218</v>
      </c>
    </row>
    <row r="10" spans="1:14" ht="25.5">
      <c r="A10" s="3">
        <v>3</v>
      </c>
      <c r="B10" s="2" t="s">
        <v>5</v>
      </c>
      <c r="C10" s="77">
        <f>'Налоговый потен'!M9</f>
        <v>1447.0291695460994</v>
      </c>
      <c r="D10" s="77">
        <f>'субв от числ уточ'!D8</f>
        <v>554.2835245784848</v>
      </c>
      <c r="E10" s="77">
        <f t="shared" si="0"/>
        <v>2001.3126941245841</v>
      </c>
      <c r="F10" s="77">
        <f t="shared" si="1"/>
        <v>1447.0291695460994</v>
      </c>
      <c r="G10" s="90">
        <f t="shared" si="2"/>
        <v>554.2835245784848</v>
      </c>
      <c r="H10" s="77">
        <f>'Дотации '!J7</f>
        <v>212.84388171167691</v>
      </c>
      <c r="I10" s="77">
        <f t="shared" si="3"/>
        <v>2214.1565758362613</v>
      </c>
      <c r="J10" s="77">
        <f>'Налоговый потен'!M9</f>
        <v>1447.0291695460994</v>
      </c>
      <c r="K10" s="90">
        <f>'Дотации '!J7</f>
        <v>212.84388171167691</v>
      </c>
      <c r="L10" s="90">
        <f>'Дотации '!N7</f>
        <v>728.3473123106837</v>
      </c>
      <c r="M10" s="77">
        <f>'субв от числ уточ'!D8</f>
        <v>554.2835245784848</v>
      </c>
      <c r="N10" s="77">
        <f t="shared" si="4"/>
        <v>2942.503888146945</v>
      </c>
    </row>
    <row r="11" spans="1:14" ht="25.5">
      <c r="A11" s="3">
        <v>4</v>
      </c>
      <c r="B11" s="2" t="s">
        <v>6</v>
      </c>
      <c r="C11" s="77">
        <f>'Налоговый потен'!M10</f>
        <v>3599.4428231436423</v>
      </c>
      <c r="D11" s="77">
        <f>'субв от числ уточ'!D9</f>
        <v>466.83129992875797</v>
      </c>
      <c r="E11" s="77">
        <f t="shared" si="0"/>
        <v>4066.2741230724005</v>
      </c>
      <c r="F11" s="77">
        <f t="shared" si="1"/>
        <v>3599.4428231436423</v>
      </c>
      <c r="G11" s="90">
        <f t="shared" si="2"/>
        <v>466.83129992875797</v>
      </c>
      <c r="H11" s="77">
        <f>'Дотации '!J8</f>
        <v>125.43453098840365</v>
      </c>
      <c r="I11" s="77">
        <f t="shared" si="3"/>
        <v>4191.708654060804</v>
      </c>
      <c r="J11" s="77">
        <f>'Налоговый потен'!M10</f>
        <v>3599.4428231436423</v>
      </c>
      <c r="K11" s="90">
        <f>'Дотации '!J8</f>
        <v>125.43453098840365</v>
      </c>
      <c r="L11" s="90">
        <f>'Дотации '!N8</f>
        <v>0</v>
      </c>
      <c r="M11" s="77">
        <f>'субв от числ уточ'!D9</f>
        <v>466.83129992875797</v>
      </c>
      <c r="N11" s="77">
        <f t="shared" si="4"/>
        <v>4191.708654060804</v>
      </c>
    </row>
    <row r="12" spans="1:14" ht="25.5">
      <c r="A12" s="3">
        <v>5</v>
      </c>
      <c r="B12" s="2" t="s">
        <v>7</v>
      </c>
      <c r="C12" s="77">
        <f>'Налоговый потен'!M11</f>
        <v>2044.5277009491695</v>
      </c>
      <c r="D12" s="77">
        <f>'субв от числ уточ'!D10</f>
        <v>727.6150921396343</v>
      </c>
      <c r="E12" s="77">
        <f t="shared" si="0"/>
        <v>2772.142793088804</v>
      </c>
      <c r="F12" s="77">
        <f t="shared" si="1"/>
        <v>2044.5277009491695</v>
      </c>
      <c r="G12" s="90">
        <f t="shared" si="2"/>
        <v>727.6150921396343</v>
      </c>
      <c r="H12" s="77">
        <f>'Дотации '!J9</f>
        <v>164.53886051219712</v>
      </c>
      <c r="I12" s="77">
        <f t="shared" si="3"/>
        <v>2936.681653601001</v>
      </c>
      <c r="J12" s="77">
        <f>'Налоговый потен'!M11</f>
        <v>2044.5277009491695</v>
      </c>
      <c r="K12" s="90">
        <f>'Дотации '!J9</f>
        <v>164.53886051219712</v>
      </c>
      <c r="L12" s="90">
        <f>'Дотации '!N9</f>
        <v>376.74182865917743</v>
      </c>
      <c r="M12" s="77">
        <f>'субв от числ уточ'!D10</f>
        <v>727.6150921396343</v>
      </c>
      <c r="N12" s="77">
        <f t="shared" si="4"/>
        <v>3313.4234822601784</v>
      </c>
    </row>
    <row r="13" spans="1:14" ht="25.5">
      <c r="A13" s="3">
        <v>6</v>
      </c>
      <c r="B13" s="2" t="s">
        <v>8</v>
      </c>
      <c r="C13" s="77">
        <f>'Налоговый потен'!M12</f>
        <v>2851.0701936815444</v>
      </c>
      <c r="D13" s="77">
        <f>'субв от числ уточ'!D11</f>
        <v>803.1134155782474</v>
      </c>
      <c r="E13" s="77">
        <f t="shared" si="0"/>
        <v>3654.183609259792</v>
      </c>
      <c r="F13" s="77">
        <f t="shared" si="1"/>
        <v>2851.0701936815444</v>
      </c>
      <c r="G13" s="90">
        <f t="shared" si="2"/>
        <v>803.1134155782474</v>
      </c>
      <c r="H13" s="77">
        <f>'Дотации '!J10</f>
        <v>108.70195746812571</v>
      </c>
      <c r="I13" s="77">
        <f t="shared" si="3"/>
        <v>3762.8855667279176</v>
      </c>
      <c r="J13" s="77">
        <f>'Налоговый потен'!M12</f>
        <v>2851.0701936815444</v>
      </c>
      <c r="K13" s="90">
        <f>'Дотации '!J10</f>
        <v>108.70195746812571</v>
      </c>
      <c r="L13" s="90">
        <f>'Дотации '!N10</f>
        <v>0</v>
      </c>
      <c r="M13" s="77">
        <f>'субв от числ уточ'!D11</f>
        <v>803.1134155782474</v>
      </c>
      <c r="N13" s="77">
        <f t="shared" si="4"/>
        <v>3762.8855667279176</v>
      </c>
    </row>
    <row r="14" spans="1:14" ht="25.5">
      <c r="A14" s="3">
        <v>7</v>
      </c>
      <c r="B14" s="2" t="s">
        <v>9</v>
      </c>
      <c r="C14" s="77">
        <f>'Налоговый потен'!M13</f>
        <v>2789.792831463898</v>
      </c>
      <c r="D14" s="77">
        <f>'субв от числ уточ'!D12</f>
        <v>1042.5060161481833</v>
      </c>
      <c r="E14" s="77">
        <f t="shared" si="0"/>
        <v>3832.2988476120813</v>
      </c>
      <c r="F14" s="77">
        <f t="shared" si="1"/>
        <v>2789.792831463898</v>
      </c>
      <c r="G14" s="90">
        <f t="shared" si="2"/>
        <v>1042.5060161481833</v>
      </c>
      <c r="H14" s="77">
        <f>'Дотации '!J11</f>
        <v>192.20734111997933</v>
      </c>
      <c r="I14" s="77">
        <f t="shared" si="3"/>
        <v>4024.5061887320608</v>
      </c>
      <c r="J14" s="77">
        <f>'Налоговый потен'!M13</f>
        <v>2789.792831463898</v>
      </c>
      <c r="K14" s="90">
        <f>'Дотации '!J11</f>
        <v>192.20734111997933</v>
      </c>
      <c r="L14" s="90">
        <f>'Дотации '!N11</f>
        <v>349.7564490783226</v>
      </c>
      <c r="M14" s="77">
        <f>'субв от числ уточ'!D12</f>
        <v>1042.5060161481833</v>
      </c>
      <c r="N14" s="77">
        <f t="shared" si="4"/>
        <v>4374.262637810383</v>
      </c>
    </row>
    <row r="15" spans="1:14" ht="25.5">
      <c r="A15" s="3">
        <v>8</v>
      </c>
      <c r="B15" s="2" t="s">
        <v>10</v>
      </c>
      <c r="C15" s="77">
        <f>'Налоговый потен'!M14</f>
        <v>1842.2079783587797</v>
      </c>
      <c r="D15" s="77">
        <f>'субв от числ уточ'!D13</f>
        <v>799.0239230586559</v>
      </c>
      <c r="E15" s="77">
        <f t="shared" si="0"/>
        <v>2641.2319014174354</v>
      </c>
      <c r="F15" s="77">
        <f t="shared" si="1"/>
        <v>1842.2079783587797</v>
      </c>
      <c r="G15" s="90">
        <f t="shared" si="2"/>
        <v>799.0239230586559</v>
      </c>
      <c r="H15" s="77">
        <f>'Дотации '!J12</f>
        <v>137.10430232899898</v>
      </c>
      <c r="I15" s="77">
        <f t="shared" si="3"/>
        <v>2778.3362037464344</v>
      </c>
      <c r="J15" s="77">
        <f>'Налоговый потен'!M14</f>
        <v>1842.2079783587797</v>
      </c>
      <c r="K15" s="90">
        <f>'Дотации '!J12</f>
        <v>137.10430232899898</v>
      </c>
      <c r="L15" s="90">
        <f>'Дотации '!N12</f>
        <v>263.5393252942715</v>
      </c>
      <c r="M15" s="77">
        <f>'субв от числ уточ'!D13</f>
        <v>799.0239230586559</v>
      </c>
      <c r="N15" s="77">
        <f t="shared" si="4"/>
        <v>3041.875529040706</v>
      </c>
    </row>
    <row r="16" spans="1:14" ht="25.5">
      <c r="A16" s="3">
        <v>9</v>
      </c>
      <c r="B16" s="2" t="s">
        <v>11</v>
      </c>
      <c r="C16" s="77">
        <f>'Налоговый потен'!M15</f>
        <v>3221.3895870920364</v>
      </c>
      <c r="D16" s="77">
        <f>'субв от числ уточ'!D14</f>
        <v>864.1412270244598</v>
      </c>
      <c r="E16" s="77">
        <f t="shared" si="0"/>
        <v>4085.530814116496</v>
      </c>
      <c r="F16" s="77">
        <f t="shared" si="1"/>
        <v>3221.3895870920364</v>
      </c>
      <c r="G16" s="90">
        <f t="shared" si="2"/>
        <v>864.1412270244598</v>
      </c>
      <c r="H16" s="77">
        <f>'Дотации '!J13</f>
        <v>99.43569524461826</v>
      </c>
      <c r="I16" s="77">
        <f t="shared" si="3"/>
        <v>4184.966509361114</v>
      </c>
      <c r="J16" s="77">
        <f>'Налоговый потен'!M15</f>
        <v>3221.3895870920364</v>
      </c>
      <c r="K16" s="90">
        <f>'Дотации '!J13</f>
        <v>99.43569524461826</v>
      </c>
      <c r="L16" s="90">
        <f>'Дотации '!N13</f>
        <v>0</v>
      </c>
      <c r="M16" s="77">
        <f>'субв от числ уточ'!D14</f>
        <v>864.1412270244598</v>
      </c>
      <c r="N16" s="77">
        <f t="shared" si="4"/>
        <v>4184.966509361115</v>
      </c>
    </row>
    <row r="17" spans="1:14" ht="25.5">
      <c r="A17" s="4">
        <v>10</v>
      </c>
      <c r="B17" s="2" t="s">
        <v>12</v>
      </c>
      <c r="C17" s="77">
        <f>'Налоговый потен'!M16</f>
        <v>16157.433193584442</v>
      </c>
      <c r="D17" s="77">
        <f>'субв от числ уточ'!D15</f>
        <v>1472.8464597482782</v>
      </c>
      <c r="E17" s="77">
        <f t="shared" si="0"/>
        <v>17630.27965333272</v>
      </c>
      <c r="F17" s="77">
        <f t="shared" si="1"/>
        <v>16157.433193584442</v>
      </c>
      <c r="G17" s="90">
        <f t="shared" si="2"/>
        <v>1472.8464597482782</v>
      </c>
      <c r="H17" s="77">
        <f>'Дотации '!J14</f>
        <v>0</v>
      </c>
      <c r="I17" s="77">
        <f t="shared" si="3"/>
        <v>17630.27965333272</v>
      </c>
      <c r="J17" s="77">
        <f>'Налоговый потен'!M16</f>
        <v>16157.433193584442</v>
      </c>
      <c r="K17" s="90">
        <f>'Дотации '!J14</f>
        <v>0</v>
      </c>
      <c r="L17" s="90">
        <f>'Дотации '!N14</f>
        <v>0</v>
      </c>
      <c r="M17" s="77">
        <f>'субв от числ уточ'!D15</f>
        <v>1472.8464597482782</v>
      </c>
      <c r="N17" s="77">
        <f t="shared" si="4"/>
        <v>17630.27965333272</v>
      </c>
    </row>
    <row r="18" spans="1:14" ht="12.75">
      <c r="A18" s="3"/>
      <c r="B18" s="11" t="s">
        <v>15</v>
      </c>
      <c r="C18" s="76">
        <f aca="true" t="shared" si="5" ref="C18:N18">SUM(C8:C17)</f>
        <v>72701.59999999999</v>
      </c>
      <c r="D18" s="76">
        <f t="shared" si="5"/>
        <v>13246.81</v>
      </c>
      <c r="E18" s="76">
        <f t="shared" si="5"/>
        <v>85948.40999999999</v>
      </c>
      <c r="F18" s="76">
        <f>SUM(F8:F17)</f>
        <v>72701.59999999999</v>
      </c>
      <c r="G18" s="76">
        <f>SUM(G8:G17)</f>
        <v>13246.81</v>
      </c>
      <c r="H18" s="76">
        <f>SUM(H8:H17)</f>
        <v>1261.874112810041</v>
      </c>
      <c r="I18" s="76">
        <f>SUM(I8:I17)</f>
        <v>87210.28411281004</v>
      </c>
      <c r="J18" s="76">
        <f t="shared" si="5"/>
        <v>72701.59999999999</v>
      </c>
      <c r="K18" s="76">
        <f t="shared" si="5"/>
        <v>1261.874112810041</v>
      </c>
      <c r="L18" s="76">
        <f t="shared" si="5"/>
        <v>1738.1258871899593</v>
      </c>
      <c r="M18" s="76">
        <f t="shared" si="5"/>
        <v>13246.81</v>
      </c>
      <c r="N18" s="76">
        <f t="shared" si="5"/>
        <v>88948.40999999999</v>
      </c>
    </row>
    <row r="19" spans="2:10" ht="12.75">
      <c r="B19" s="1"/>
      <c r="C19" s="7"/>
      <c r="F19" s="7"/>
      <c r="J19" s="7"/>
    </row>
    <row r="20" ht="12.75">
      <c r="B20" s="89" t="s">
        <v>96</v>
      </c>
    </row>
  </sheetData>
  <mergeCells count="6">
    <mergeCell ref="F5:I5"/>
    <mergeCell ref="C5:E5"/>
    <mergeCell ref="J5:N5"/>
    <mergeCell ref="A2:N3"/>
    <mergeCell ref="B5:B6"/>
    <mergeCell ref="A5:A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5" zoomScaleSheetLayoutView="75" workbookViewId="0" topLeftCell="A1">
      <selection activeCell="A1" sqref="A1:J1"/>
    </sheetView>
  </sheetViews>
  <sheetFormatPr defaultColWidth="9.00390625" defaultRowHeight="12.75"/>
  <cols>
    <col min="1" max="1" width="26.00390625" style="0" customWidth="1"/>
    <col min="2" max="2" width="13.75390625" style="0" customWidth="1"/>
    <col min="3" max="3" width="12.25390625" style="0" customWidth="1"/>
    <col min="4" max="4" width="14.00390625" style="0" customWidth="1"/>
    <col min="5" max="5" width="10.375" style="0" bestFit="1" customWidth="1"/>
    <col min="6" max="6" width="11.75390625" style="0" customWidth="1"/>
    <col min="7" max="7" width="13.25390625" style="0" customWidth="1"/>
    <col min="8" max="8" width="10.375" style="0" bestFit="1" customWidth="1"/>
    <col min="9" max="9" width="11.125" style="0" customWidth="1"/>
    <col min="10" max="10" width="13.25390625" style="0" customWidth="1"/>
  </cols>
  <sheetData>
    <row r="1" spans="1:10" ht="33.75" customHeight="1">
      <c r="A1" s="167" t="s">
        <v>172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1" ht="39" customHeight="1">
      <c r="A2" s="166" t="s">
        <v>1</v>
      </c>
      <c r="B2" s="141" t="s">
        <v>112</v>
      </c>
      <c r="C2" s="141"/>
      <c r="D2" s="141"/>
      <c r="E2" s="141" t="s">
        <v>131</v>
      </c>
      <c r="F2" s="141"/>
      <c r="G2" s="141"/>
      <c r="H2" s="141" t="s">
        <v>119</v>
      </c>
      <c r="I2" s="141"/>
      <c r="J2" s="141"/>
      <c r="K2" s="91"/>
    </row>
    <row r="3" spans="1:10" ht="76.5" customHeight="1">
      <c r="A3" s="166"/>
      <c r="B3" s="17" t="s">
        <v>77</v>
      </c>
      <c r="C3" s="15" t="s">
        <v>81</v>
      </c>
      <c r="D3" s="87" t="s">
        <v>82</v>
      </c>
      <c r="E3" s="17" t="s">
        <v>77</v>
      </c>
      <c r="F3" s="15" t="s">
        <v>81</v>
      </c>
      <c r="G3" s="87" t="s">
        <v>82</v>
      </c>
      <c r="H3" s="17" t="s">
        <v>77</v>
      </c>
      <c r="I3" s="15" t="s">
        <v>81</v>
      </c>
      <c r="J3" s="87" t="s">
        <v>82</v>
      </c>
    </row>
    <row r="4" spans="1:10" ht="30" customHeight="1">
      <c r="A4" s="2" t="s">
        <v>3</v>
      </c>
      <c r="B4" s="22">
        <f>'субв от числ уточ'!C6</f>
        <v>12732</v>
      </c>
      <c r="C4" s="77">
        <f>ДП!E8</f>
        <v>38324.928574905</v>
      </c>
      <c r="D4" s="5">
        <f>(C4/B4)/(C14/B14)</f>
        <v>1.4747965695210243</v>
      </c>
      <c r="E4" s="22">
        <f>B4</f>
        <v>12732</v>
      </c>
      <c r="F4" s="77">
        <f>ДП!I8</f>
        <v>38324.928574905</v>
      </c>
      <c r="G4" s="5">
        <f>(F4/E4)/(F14/E14)</f>
        <v>1.4534572557959096</v>
      </c>
      <c r="H4" s="22">
        <f>'Коэф.масшт.'!C5</f>
        <v>12732</v>
      </c>
      <c r="I4" s="77">
        <f>ДП!N8</f>
        <v>38324.928574905</v>
      </c>
      <c r="J4" s="5">
        <f>(I4/H4)/(I14/H14)</f>
        <v>1.4250554925465952</v>
      </c>
    </row>
    <row r="5" spans="1:10" ht="24" customHeight="1">
      <c r="A5" s="2" t="s">
        <v>4</v>
      </c>
      <c r="B5" s="22">
        <f>'субв от числ уточ'!C7</f>
        <v>7983</v>
      </c>
      <c r="C5" s="77">
        <f>ДП!E9</f>
        <v>6940.226989070673</v>
      </c>
      <c r="D5" s="5">
        <f>(C5/B5)/(C14/B14)</f>
        <v>0.4259463883068193</v>
      </c>
      <c r="E5" s="22">
        <f aca="true" t="shared" si="0" ref="E5:E13">B5</f>
        <v>7983</v>
      </c>
      <c r="F5" s="77">
        <f>ДП!I9</f>
        <v>7161.834532506714</v>
      </c>
      <c r="G5" s="5">
        <f>(F5/E5)/(F14/E14)</f>
        <v>0.43318727801634943</v>
      </c>
      <c r="H5" s="22">
        <f>'Коэф.масшт.'!C6</f>
        <v>7983</v>
      </c>
      <c r="I5" s="77">
        <f>ДП!N9</f>
        <v>7181.575504354218</v>
      </c>
      <c r="J5" s="5">
        <f>(I5/H5)/(I14/H14)</f>
        <v>0.4258931487664753</v>
      </c>
    </row>
    <row r="6" spans="1:10" ht="26.25" customHeight="1">
      <c r="A6" s="2" t="s">
        <v>5</v>
      </c>
      <c r="B6" s="22">
        <f>'субв от числ уточ'!C8</f>
        <v>1762</v>
      </c>
      <c r="C6" s="77">
        <f>ДП!E10</f>
        <v>2001.3126941245841</v>
      </c>
      <c r="D6" s="5">
        <f>(C6/B6)/(C14/B14)</f>
        <v>0.5564888159742538</v>
      </c>
      <c r="E6" s="22">
        <f t="shared" si="0"/>
        <v>1762</v>
      </c>
      <c r="F6" s="77">
        <f>ДП!I10</f>
        <v>2214.1565758362613</v>
      </c>
      <c r="G6" s="5">
        <f>(F6/E6)/(F14/E14)</f>
        <v>0.6067642227385857</v>
      </c>
      <c r="H6" s="22">
        <f>'Коэф.масшт.'!C7</f>
        <v>1762</v>
      </c>
      <c r="I6" s="77">
        <f>ДП!N10</f>
        <v>2942.503888146945</v>
      </c>
      <c r="J6" s="5">
        <f>(I6/H6)/(I14/H14)</f>
        <v>0.7906025185116029</v>
      </c>
    </row>
    <row r="7" spans="1:10" ht="29.25" customHeight="1">
      <c r="A7" s="2" t="s">
        <v>6</v>
      </c>
      <c r="B7" s="22">
        <f>'субв от числ уточ'!C9</f>
        <v>1484</v>
      </c>
      <c r="C7" s="77">
        <f>ДП!E11</f>
        <v>4066.2741230724005</v>
      </c>
      <c r="D7" s="5">
        <f>(C7/B7)/(C14/B14)</f>
        <v>1.342487177570043</v>
      </c>
      <c r="E7" s="22">
        <f t="shared" si="0"/>
        <v>1484</v>
      </c>
      <c r="F7" s="77">
        <f>ДП!I11</f>
        <v>4191.708654060804</v>
      </c>
      <c r="G7" s="5">
        <f>(F7/E7)/(F14/E14)</f>
        <v>1.363875501281418</v>
      </c>
      <c r="H7" s="22">
        <f>'Коэф.масшт.'!C8</f>
        <v>1484</v>
      </c>
      <c r="I7" s="77">
        <f>ДП!N11</f>
        <v>4191.708654060804</v>
      </c>
      <c r="J7" s="5">
        <f>(I7/H7)/(I14/H14)</f>
        <v>1.3372242399976986</v>
      </c>
    </row>
    <row r="8" spans="1:10" ht="25.5" customHeight="1">
      <c r="A8" s="2" t="s">
        <v>7</v>
      </c>
      <c r="B8" s="22">
        <f>'субв от числ уточ'!C10</f>
        <v>2313</v>
      </c>
      <c r="C8" s="77">
        <f>ДП!E12</f>
        <v>2772.142793088804</v>
      </c>
      <c r="D8" s="5">
        <f>(C8/B8)/(C14/B14)</f>
        <v>0.5872017737784131</v>
      </c>
      <c r="E8" s="22">
        <f t="shared" si="0"/>
        <v>2313</v>
      </c>
      <c r="F8" s="77">
        <f>ДП!I12</f>
        <v>2936.681653601001</v>
      </c>
      <c r="G8" s="5">
        <f>(F8/E8)/(F14/E14)</f>
        <v>0.6130540662783026</v>
      </c>
      <c r="H8" s="22">
        <f>'Коэф.масшт.'!C9</f>
        <v>2313</v>
      </c>
      <c r="I8" s="77">
        <f>ДП!N12</f>
        <v>3313.4234822601784</v>
      </c>
      <c r="J8" s="5">
        <f>(I8/H8)/(I14/H14)</f>
        <v>0.6781852893434848</v>
      </c>
    </row>
    <row r="9" spans="1:10" ht="27.75" customHeight="1">
      <c r="A9" s="2" t="s">
        <v>8</v>
      </c>
      <c r="B9" s="22">
        <f>'субв от числ уточ'!C11</f>
        <v>2553</v>
      </c>
      <c r="C9" s="77">
        <f>ДП!E13</f>
        <v>3654.183609259792</v>
      </c>
      <c r="D9" s="5">
        <f>(C9/B9)/(C14/B14)</f>
        <v>0.7012727202105123</v>
      </c>
      <c r="E9" s="22">
        <f t="shared" si="0"/>
        <v>2553</v>
      </c>
      <c r="F9" s="77">
        <f>ДП!I13</f>
        <v>3762.8855667279176</v>
      </c>
      <c r="G9" s="5">
        <f>(F9/E9)/(F14/E14)</f>
        <v>0.7116848755310796</v>
      </c>
      <c r="H9" s="22">
        <f>'Коэф.масшт.'!C10</f>
        <v>2553</v>
      </c>
      <c r="I9" s="77">
        <f>ДП!N13</f>
        <v>3762.8855667279176</v>
      </c>
      <c r="J9" s="5">
        <f>(I9/H9)/(I14/H14)</f>
        <v>0.6977779613357373</v>
      </c>
    </row>
    <row r="10" spans="1:10" ht="25.5" customHeight="1">
      <c r="A10" s="2" t="s">
        <v>9</v>
      </c>
      <c r="B10" s="22">
        <f>'субв от числ уточ'!C12</f>
        <v>3314</v>
      </c>
      <c r="C10" s="77">
        <f>ДП!E14</f>
        <v>3832.2988476120813</v>
      </c>
      <c r="D10" s="5">
        <f>(C10/B10)/(C14/B14)</f>
        <v>0.566570892616219</v>
      </c>
      <c r="E10" s="22">
        <f t="shared" si="0"/>
        <v>3314</v>
      </c>
      <c r="F10" s="77">
        <f>ДП!I14</f>
        <v>4024.5061887320608</v>
      </c>
      <c r="G10" s="5">
        <f>(F10/E10)/(F14/E14)</f>
        <v>0.586377956383103</v>
      </c>
      <c r="H10" s="22">
        <f>'Коэф.масшт.'!C11</f>
        <v>3314</v>
      </c>
      <c r="I10" s="77">
        <f>ДП!N14</f>
        <v>4374.262637810383</v>
      </c>
      <c r="J10" s="5">
        <f>(I10/H10)/(I14/H14)</f>
        <v>0.6248839978602702</v>
      </c>
    </row>
    <row r="11" spans="1:10" ht="26.25" customHeight="1">
      <c r="A11" s="2" t="s">
        <v>10</v>
      </c>
      <c r="B11" s="22">
        <f>'субв от числ уточ'!C13</f>
        <v>2540</v>
      </c>
      <c r="C11" s="77">
        <f>ДП!E15</f>
        <v>2641.2319014174354</v>
      </c>
      <c r="D11" s="5">
        <f>(C11/B11)/(C14/B14)</f>
        <v>0.5094718725948196</v>
      </c>
      <c r="E11" s="22">
        <f t="shared" si="0"/>
        <v>2540</v>
      </c>
      <c r="F11" s="77">
        <f>ДП!I15</f>
        <v>2778.3362037464344</v>
      </c>
      <c r="G11" s="5">
        <f>(F11/E11)/(F14/E14)</f>
        <v>0.5281637877988132</v>
      </c>
      <c r="H11" s="22">
        <f>'Коэф.масшт.'!C12</f>
        <v>2540</v>
      </c>
      <c r="I11" s="77">
        <f>ДП!N15</f>
        <v>3041.875529040706</v>
      </c>
      <c r="J11" s="5">
        <f>(I11/H11)/(I14/H14)</f>
        <v>0.5669630742962559</v>
      </c>
    </row>
    <row r="12" spans="1:10" ht="25.5" customHeight="1">
      <c r="A12" s="2" t="s">
        <v>11</v>
      </c>
      <c r="B12" s="22">
        <f>'субв от числ уточ'!C14</f>
        <v>2747</v>
      </c>
      <c r="C12" s="77">
        <f>ДП!E16</f>
        <v>4085.530814116496</v>
      </c>
      <c r="D12" s="5">
        <f>(C12/B12)/(C14/B14)</f>
        <v>0.728680630655502</v>
      </c>
      <c r="E12" s="22">
        <f t="shared" si="0"/>
        <v>2747</v>
      </c>
      <c r="F12" s="77">
        <f>ДП!I16</f>
        <v>4184.966509361114</v>
      </c>
      <c r="G12" s="5">
        <f>(F12/E12)/(F14/E14)</f>
        <v>0.735615493109605</v>
      </c>
      <c r="H12" s="22">
        <f>'Коэф.масшт.'!C13</f>
        <v>2747</v>
      </c>
      <c r="I12" s="77">
        <f>ДП!N16</f>
        <v>4184.966509361115</v>
      </c>
      <c r="J12" s="5">
        <f>(I12/H12)/(I14/H14)</f>
        <v>0.7212409547497647</v>
      </c>
    </row>
    <row r="13" spans="1:10" ht="25.5" customHeight="1">
      <c r="A13" s="2" t="s">
        <v>12</v>
      </c>
      <c r="B13" s="22">
        <f>'субв от числ уточ'!C15</f>
        <v>4682</v>
      </c>
      <c r="C13" s="77">
        <f>ДП!E17</f>
        <v>17630.27965333272</v>
      </c>
      <c r="D13" s="5">
        <f>(C13/B13)/(C14/B14)</f>
        <v>1.8449100062720702</v>
      </c>
      <c r="E13" s="22">
        <f t="shared" si="0"/>
        <v>4682</v>
      </c>
      <c r="F13" s="77">
        <f>ДП!I17</f>
        <v>17630.27965333272</v>
      </c>
      <c r="G13" s="5">
        <f>(F13/E13)/(F14/E14)</f>
        <v>1.8182154002280453</v>
      </c>
      <c r="H13" s="22">
        <f>'Коэф.масшт.'!C14</f>
        <v>4682</v>
      </c>
      <c r="I13" s="77">
        <f>ДП!N17</f>
        <v>17630.27965333272</v>
      </c>
      <c r="J13" s="5">
        <f>(I13/H13)/(I14/H14)</f>
        <v>1.782685959559867</v>
      </c>
    </row>
    <row r="14" spans="1:10" ht="18.75" customHeight="1">
      <c r="A14" s="11" t="s">
        <v>71</v>
      </c>
      <c r="B14" s="76">
        <f>SUM(B4:B13)</f>
        <v>42110</v>
      </c>
      <c r="C14" s="76">
        <f>SUM(C4:C13)</f>
        <v>85948.40999999999</v>
      </c>
      <c r="D14" s="19"/>
      <c r="E14" s="76">
        <f>SUM(E4:E13)</f>
        <v>42110</v>
      </c>
      <c r="F14" s="76">
        <f>SUM(F4:F13)</f>
        <v>87210.28411281004</v>
      </c>
      <c r="G14" s="19"/>
      <c r="H14" s="76">
        <f>SUM(H4:H13)</f>
        <v>42110</v>
      </c>
      <c r="I14" s="76">
        <f>SUM(I4:I13)</f>
        <v>88948.40999999999</v>
      </c>
      <c r="J14" s="19"/>
    </row>
    <row r="16" ht="18.75" customHeight="1">
      <c r="A16" s="89" t="s">
        <v>96</v>
      </c>
    </row>
  </sheetData>
  <mergeCells count="5">
    <mergeCell ref="A1:J1"/>
    <mergeCell ref="E2:G2"/>
    <mergeCell ref="B2:D2"/>
    <mergeCell ref="H2:J2"/>
    <mergeCell ref="A2:A3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D33" sqref="D33"/>
    </sheetView>
  </sheetViews>
  <sheetFormatPr defaultColWidth="9.00390625" defaultRowHeight="12.75"/>
  <cols>
    <col min="1" max="1" width="5.625" style="0" customWidth="1"/>
    <col min="2" max="2" width="33.625" style="0" customWidth="1"/>
    <col min="3" max="3" width="11.875" style="39" customWidth="1"/>
    <col min="4" max="4" width="12.375" style="18" customWidth="1"/>
    <col min="5" max="5" width="9.00390625" style="18" customWidth="1"/>
  </cols>
  <sheetData>
    <row r="2" spans="1:5" ht="39" customHeight="1">
      <c r="A2" s="148" t="s">
        <v>145</v>
      </c>
      <c r="B2" s="148"/>
      <c r="C2" s="148"/>
      <c r="D2" s="148"/>
      <c r="E2" s="73"/>
    </row>
    <row r="3" spans="1:5" ht="12.75">
      <c r="A3" s="10"/>
      <c r="B3" s="10"/>
      <c r="C3" s="37"/>
      <c r="D3" s="71"/>
      <c r="E3" s="71"/>
    </row>
    <row r="5" spans="1:7" ht="51">
      <c r="A5" s="2" t="s">
        <v>0</v>
      </c>
      <c r="B5" s="2" t="s">
        <v>1</v>
      </c>
      <c r="C5" s="38" t="s">
        <v>13</v>
      </c>
      <c r="D5" s="72" t="s">
        <v>111</v>
      </c>
      <c r="E5" s="85" t="s">
        <v>146</v>
      </c>
      <c r="F5" s="81" t="s">
        <v>147</v>
      </c>
      <c r="G5" s="82"/>
    </row>
    <row r="6" spans="1:7" ht="25.5">
      <c r="A6" s="3">
        <v>1</v>
      </c>
      <c r="B6" s="2" t="s">
        <v>3</v>
      </c>
      <c r="C6" s="6">
        <f>'Коэф.масшт.'!C5</f>
        <v>12732</v>
      </c>
      <c r="D6" s="77">
        <f>C6*(D16/C16)</f>
        <v>4005.186058418428</v>
      </c>
      <c r="E6" s="77">
        <v>3832.2688546203644</v>
      </c>
      <c r="F6" s="82">
        <f>D6-E6</f>
        <v>172.91720379806338</v>
      </c>
      <c r="G6" s="82"/>
    </row>
    <row r="7" spans="1:7" ht="12.75">
      <c r="A7" s="3">
        <v>2</v>
      </c>
      <c r="B7" s="2" t="s">
        <v>4</v>
      </c>
      <c r="C7" s="6">
        <f>'Коэф.масшт.'!C6</f>
        <v>7983</v>
      </c>
      <c r="D7" s="77">
        <f>C7*D16/C16</f>
        <v>2511.2629833768697</v>
      </c>
      <c r="E7" s="77">
        <v>2483.166057210123</v>
      </c>
      <c r="F7" s="82">
        <f aca="true" t="shared" si="0" ref="F7:F15">D7-E7</f>
        <v>28.09692616674647</v>
      </c>
      <c r="G7" s="82"/>
    </row>
    <row r="8" spans="1:7" ht="12.75">
      <c r="A8" s="3">
        <v>3</v>
      </c>
      <c r="B8" s="2" t="s">
        <v>5</v>
      </c>
      <c r="C8" s="6">
        <f>'Коэф.масшт.'!C7</f>
        <v>1762</v>
      </c>
      <c r="D8" s="77">
        <f>C8*D16/C16</f>
        <v>554.2835245784848</v>
      </c>
      <c r="E8" s="77">
        <v>531.8924875809299</v>
      </c>
      <c r="F8" s="82">
        <f t="shared" si="0"/>
        <v>22.39103699755492</v>
      </c>
      <c r="G8" s="82"/>
    </row>
    <row r="9" spans="1:7" ht="12.75">
      <c r="A9" s="3">
        <v>4</v>
      </c>
      <c r="B9" s="2" t="s">
        <v>6</v>
      </c>
      <c r="C9" s="6">
        <f>'Коэф.масшт.'!C8</f>
        <v>1484</v>
      </c>
      <c r="D9" s="77">
        <f>C9*D16/C16</f>
        <v>466.83129992875797</v>
      </c>
      <c r="E9" s="77">
        <v>445.99680635668034</v>
      </c>
      <c r="F9" s="82">
        <f t="shared" si="0"/>
        <v>20.834493572077633</v>
      </c>
      <c r="G9" s="82"/>
    </row>
    <row r="10" spans="1:7" ht="12.75">
      <c r="A10" s="3">
        <v>5</v>
      </c>
      <c r="B10" s="2" t="s">
        <v>7</v>
      </c>
      <c r="C10" s="6">
        <f>'Коэф.масшт.'!C9</f>
        <v>2313</v>
      </c>
      <c r="D10" s="77">
        <f>C10*D16/C16</f>
        <v>727.6150921396343</v>
      </c>
      <c r="E10" s="77">
        <v>692.5714716892289</v>
      </c>
      <c r="F10" s="82">
        <f t="shared" si="0"/>
        <v>35.04362045040534</v>
      </c>
      <c r="G10" s="82"/>
    </row>
    <row r="11" spans="1:7" ht="12.75">
      <c r="A11" s="3">
        <v>6</v>
      </c>
      <c r="B11" s="2" t="s">
        <v>8</v>
      </c>
      <c r="C11" s="6">
        <f>'Коэф.масшт.'!C10</f>
        <v>2553</v>
      </c>
      <c r="D11" s="77">
        <f>C11*D16/C16</f>
        <v>803.1134155782474</v>
      </c>
      <c r="E11" s="77">
        <v>767.6551091230135</v>
      </c>
      <c r="F11" s="82">
        <f t="shared" si="0"/>
        <v>35.458306455233924</v>
      </c>
      <c r="G11" s="82"/>
    </row>
    <row r="12" spans="1:7" ht="12.75">
      <c r="A12" s="3">
        <v>7</v>
      </c>
      <c r="B12" s="2" t="s">
        <v>9</v>
      </c>
      <c r="C12" s="6">
        <f>'Коэф.масшт.'!C11</f>
        <v>3314</v>
      </c>
      <c r="D12" s="77">
        <f>C12*D16/C16</f>
        <v>1042.5060161481833</v>
      </c>
      <c r="E12" s="77">
        <v>998.0117087698646</v>
      </c>
      <c r="F12" s="82">
        <f t="shared" si="0"/>
        <v>44.494307378318695</v>
      </c>
      <c r="G12" s="82"/>
    </row>
    <row r="13" spans="1:7" ht="25.5">
      <c r="A13" s="3">
        <v>8</v>
      </c>
      <c r="B13" s="2" t="s">
        <v>10</v>
      </c>
      <c r="C13" s="6">
        <f>'Коэф.масшт.'!C12</f>
        <v>2540</v>
      </c>
      <c r="D13" s="77">
        <f>C13*D16/C16</f>
        <v>799.0239230586559</v>
      </c>
      <c r="E13" s="77">
        <v>767.0544400235432</v>
      </c>
      <c r="F13" s="82">
        <f t="shared" si="0"/>
        <v>31.969483035112717</v>
      </c>
      <c r="G13" s="82"/>
    </row>
    <row r="14" spans="1:7" ht="12.75">
      <c r="A14" s="3">
        <v>9</v>
      </c>
      <c r="B14" s="2" t="s">
        <v>11</v>
      </c>
      <c r="C14" s="6">
        <f>'Коэф.масшт.'!C13</f>
        <v>2747</v>
      </c>
      <c r="D14" s="77">
        <f>C14*D16/C16</f>
        <v>864.1412270244598</v>
      </c>
      <c r="E14" s="77">
        <v>833.728710064744</v>
      </c>
      <c r="F14" s="82">
        <f t="shared" si="0"/>
        <v>30.412516959715845</v>
      </c>
      <c r="G14" s="82"/>
    </row>
    <row r="15" spans="1:7" ht="12.75">
      <c r="A15" s="4">
        <v>10</v>
      </c>
      <c r="B15" s="2" t="s">
        <v>12</v>
      </c>
      <c r="C15" s="6">
        <f>'Коэф.масшт.'!C14</f>
        <v>4682</v>
      </c>
      <c r="D15" s="77">
        <f>C15*D16/C16</f>
        <v>1472.8464597482782</v>
      </c>
      <c r="E15" s="77">
        <v>1404.3643545615066</v>
      </c>
      <c r="F15" s="82">
        <f t="shared" si="0"/>
        <v>68.4821051867716</v>
      </c>
      <c r="G15" s="82"/>
    </row>
    <row r="16" spans="1:7" ht="12.75">
      <c r="A16" s="3"/>
      <c r="B16" s="11" t="s">
        <v>15</v>
      </c>
      <c r="C16" s="23">
        <f>SUM(C6:C15)</f>
        <v>42110</v>
      </c>
      <c r="D16" s="76">
        <f>13248.9-2.09</f>
        <v>13246.81</v>
      </c>
      <c r="E16" s="84">
        <f>SUM(E6:E15)</f>
        <v>12756.71</v>
      </c>
      <c r="F16" s="84">
        <f>SUM(F6:F15)</f>
        <v>490.10000000000053</v>
      </c>
      <c r="G16" s="82"/>
    </row>
    <row r="17" spans="2:5" ht="12.75">
      <c r="B17" s="1"/>
      <c r="D17" s="82">
        <f>D6+D7+D8+D9+D10+D11+D12+D13+D14+D15</f>
        <v>13246.81</v>
      </c>
      <c r="E17" s="84"/>
    </row>
    <row r="18" spans="2:5" ht="12.75">
      <c r="B18" s="1" t="s">
        <v>96</v>
      </c>
      <c r="C18" s="1"/>
      <c r="D18" s="81"/>
      <c r="E18" s="82"/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Финанасовый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Геннадьевна</dc:creator>
  <cp:keywords/>
  <dc:description/>
  <cp:lastModifiedBy>Upravlenie fihahsov</cp:lastModifiedBy>
  <cp:lastPrinted>2018-09-26T07:14:16Z</cp:lastPrinted>
  <dcterms:created xsi:type="dcterms:W3CDTF">2005-11-18T06:27:58Z</dcterms:created>
  <dcterms:modified xsi:type="dcterms:W3CDTF">2019-04-24T10:09:17Z</dcterms:modified>
  <cp:category/>
  <cp:version/>
  <cp:contentType/>
  <cp:contentStatus/>
</cp:coreProperties>
</file>